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G:\HydrauCalc\Exemples systèmes complets\Exemples HydrauCalcXL\__Tutoriels\5 - AFT Fathom 10 - Examples - Pump Sizing\"/>
    </mc:Choice>
  </mc:AlternateContent>
  <xr:revisionPtr revIDLastSave="0" documentId="13_ncr:1_{781D34A2-E2DC-4384-A1BD-14F57859747C}" xr6:coauthVersionLast="46" xr6:coauthVersionMax="47" xr10:uidLastSave="{00000000-0000-0000-0000-000000000000}"/>
  <bookViews>
    <workbookView xWindow="-28920" yWindow="-120" windowWidth="29040" windowHeight="16440" activeTab="1" xr2:uid="{00000000-000D-0000-FFFF-FFFF00000000}"/>
  </bookViews>
  <sheets>
    <sheet name="Readme" sheetId="7" r:id="rId1"/>
    <sheet name="System" sheetId="5" r:id="rId2"/>
  </sheets>
  <definedNames>
    <definedName name="A_J6">System!$H$46</definedName>
    <definedName name="C_J6">System!$F$46</definedName>
    <definedName name="Cd">System!$E$16</definedName>
    <definedName name="D_J6">System!$D$46</definedName>
    <definedName name="D_P1">System!$D$34</definedName>
    <definedName name="D_P2">System!$D$35</definedName>
    <definedName name="D_P3">System!$D$36</definedName>
    <definedName name="D_P4">System!$D$37</definedName>
    <definedName name="D_P5">System!$D$38</definedName>
    <definedName name="D_P6">System!$D$39</definedName>
    <definedName name="D_P7">System!$D$40</definedName>
    <definedName name="D_P8">System!$D$41</definedName>
    <definedName name="D_P9">System!$D$42</definedName>
    <definedName name="dH_1_4">System!$N$75</definedName>
    <definedName name="dH_4_11">System!$N$77</definedName>
    <definedName name="dH_4_16">System!$N$76</definedName>
    <definedName name="dP_1_4">System!$N$70</definedName>
    <definedName name="dP_4_11">System!$N$72</definedName>
    <definedName name="dP_4_16">System!$N$71</definedName>
    <definedName name="dP_J4">System!$N$40</definedName>
    <definedName name="dP_J5">System!$N$44</definedName>
    <definedName name="dP_J6">System!$N$59</definedName>
    <definedName name="dP_J7">System!$N$41</definedName>
    <definedName name="dP_J8">System!$N$45</definedName>
    <definedName name="dP_P1">System!$N$48</definedName>
    <definedName name="dP_P2">System!$N$49</definedName>
    <definedName name="dP_P3">System!$N$50</definedName>
    <definedName name="dP_P4">System!$N$51</definedName>
    <definedName name="dP_P5">System!$N$52</definedName>
    <definedName name="dP_P6">System!$N$53</definedName>
    <definedName name="dP_P7">System!$N$54</definedName>
    <definedName name="dP_P8">System!$N$55</definedName>
    <definedName name="dP_P9">System!$N$56</definedName>
    <definedName name="e_J6">System!$J$46</definedName>
    <definedName name="e_P1">System!$H$34</definedName>
    <definedName name="e_P2">System!$H$35</definedName>
    <definedName name="e_P3">System!$H$36</definedName>
    <definedName name="e_P4">System!$H$37</definedName>
    <definedName name="e_P5">System!$H$38</definedName>
    <definedName name="e_P6">System!$H$39</definedName>
    <definedName name="e_P7">System!$H$40</definedName>
    <definedName name="e_P8">System!$H$41</definedName>
    <definedName name="e_P9">System!$H$42</definedName>
    <definedName name="H_J1">System!$D$29</definedName>
    <definedName name="H_J2">System!$N$62</definedName>
    <definedName name="H_J9">System!$D$30</definedName>
    <definedName name="K_J4">System!$W$6</definedName>
    <definedName name="K_J7">System!$W$7</definedName>
    <definedName name="L_P1">System!$F$34</definedName>
    <definedName name="L_P2">System!$F$35</definedName>
    <definedName name="L_P3">System!$F$36</definedName>
    <definedName name="L_P4">System!$F$37</definedName>
    <definedName name="L_P5">System!$F$38</definedName>
    <definedName name="L_P6">System!$F$39</definedName>
    <definedName name="L_P7">System!$F$40</definedName>
    <definedName name="L_P8">System!$F$41</definedName>
    <definedName name="L_P9">System!$F$42</definedName>
    <definedName name="mu">System!#REF!</definedName>
    <definedName name="nu">System!$E$20</definedName>
    <definedName name="OpenSolver_ChosenSolver" localSheetId="1" hidden="1">Cbc</definedName>
    <definedName name="OpenSolver_DualsNewSheet" localSheetId="1" hidden="1">0</definedName>
    <definedName name="OpenSolver_LinearityCheck" localSheetId="1" hidden="1">1</definedName>
    <definedName name="OpenSolver_UpdateSensitivity" localSheetId="1" hidden="1">1</definedName>
    <definedName name="P_J1">System!$N$66</definedName>
    <definedName name="P_J2">System!$N$63</definedName>
    <definedName name="P_J9">System!$N$67</definedName>
    <definedName name="P_n1">System!$W$16</definedName>
    <definedName name="P_n10">System!$W$25</definedName>
    <definedName name="P_n11">System!$W$26</definedName>
    <definedName name="P_n12">System!$W$27</definedName>
    <definedName name="P_n13">System!$W$28</definedName>
    <definedName name="P_n14">System!$W$29</definedName>
    <definedName name="P_n15">System!$W$30</definedName>
    <definedName name="P_n16">System!$W$31</definedName>
    <definedName name="P_n2">System!$W$17</definedName>
    <definedName name="P_n3">System!$W$18</definedName>
    <definedName name="P_n4">System!$W$19</definedName>
    <definedName name="P_n5">System!$W$20</definedName>
    <definedName name="P_n6">System!$W$21</definedName>
    <definedName name="P_n7">System!$W$22</definedName>
    <definedName name="P_n8">System!$W$23</definedName>
    <definedName name="P_n9">System!$W$24</definedName>
    <definedName name="Ps_J1">System!$F$29</definedName>
    <definedName name="Ps_J9">System!$F$30</definedName>
    <definedName name="Q_J2">System!$W$13</definedName>
    <definedName name="Q_J4">System!$D$24</definedName>
    <definedName name="Q_J7">System!$D$25</definedName>
    <definedName name="rho">System!$E$19</definedName>
    <definedName name="sL">System!$W$34</definedName>
    <definedName name="solver_adj" localSheetId="1" hidden="1">System!$W$6:$W$7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System!$W$10</definedName>
    <definedName name="solver_lhs2" localSheetId="1" hidden="1">System!$W$9</definedName>
    <definedName name="solver_lhs3" localSheetId="1" hidden="1">System!#REF!</definedName>
    <definedName name="solver_lhs4" localSheetId="1" hidden="1">System!$X$36</definedName>
    <definedName name="solver_lhs5" localSheetId="1" hidden="1">System!$X$52</definedName>
    <definedName name="solver_lhs6" localSheetId="1" hidden="1">System!#REF!</definedName>
    <definedName name="solver_lhs7" localSheetId="1" hidden="1">System!#REF!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2</definedName>
    <definedName name="solver_nwt" localSheetId="1" hidden="1">1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el2" localSheetId="1" hidden="1">2</definedName>
    <definedName name="solver_rel3" localSheetId="1" hidden="1">3</definedName>
    <definedName name="solver_rel4" localSheetId="1" hidden="1">2</definedName>
    <definedName name="solver_rel5" localSheetId="1" hidden="1">2</definedName>
    <definedName name="solver_rel6" localSheetId="1" hidden="1">3</definedName>
    <definedName name="solver_rel7" localSheetId="1" hidden="1">3</definedName>
    <definedName name="solver_rhs1" localSheetId="1" hidden="1">0</definedName>
    <definedName name="solver_rhs2" localSheetId="1" hidden="1">0</definedName>
    <definedName name="solver_rhs3" localSheetId="1" hidden="1">0.00001</definedName>
    <definedName name="solver_rhs4" localSheetId="1" hidden="1">dP_b</definedName>
    <definedName name="solver_rhs5" localSheetId="1" hidden="1">dP_b</definedName>
    <definedName name="solver_rhs6" localSheetId="1" hidden="1">0.0001</definedName>
    <definedName name="solver_rhs7" localSheetId="1" hidden="1">0.0001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3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5" l="1"/>
  <c r="D25" i="5"/>
  <c r="W13" i="5"/>
  <c r="N66" i="5"/>
  <c r="N40" i="5"/>
  <c r="N56" i="5"/>
  <c r="N55" i="5"/>
  <c r="N54" i="5"/>
  <c r="N53" i="5"/>
  <c r="N52" i="5"/>
  <c r="N51" i="5"/>
  <c r="N50" i="5"/>
  <c r="N49" i="5"/>
  <c r="N48" i="5"/>
  <c r="N59" i="5"/>
  <c r="F30" i="5" l="1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16" i="5"/>
  <c r="N67" i="5"/>
  <c r="H145" i="7" l="1"/>
  <c r="H144" i="7"/>
  <c r="W34" i="5"/>
  <c r="I145" i="7" l="1"/>
  <c r="I144" i="7"/>
  <c r="N41" i="5"/>
  <c r="W16" i="5" l="1"/>
  <c r="N62" i="5"/>
  <c r="N45" i="5"/>
  <c r="N44" i="5"/>
  <c r="G149" i="7" l="1"/>
  <c r="H149" i="7" s="1"/>
  <c r="N70" i="5"/>
  <c r="N71" i="5"/>
  <c r="N72" i="5"/>
  <c r="W17" i="5"/>
  <c r="N63" i="5"/>
  <c r="N76" i="5"/>
  <c r="N75" i="5"/>
  <c r="N77" i="5"/>
  <c r="V42" i="5" l="1"/>
  <c r="V41" i="5"/>
  <c r="V43" i="5"/>
  <c r="V44" i="5"/>
  <c r="V45" i="5"/>
  <c r="V39" i="5"/>
  <c r="V40" i="5"/>
  <c r="W18" i="5"/>
  <c r="W19" i="5" l="1"/>
  <c r="W20" i="5" l="1"/>
  <c r="W21" i="5" s="1"/>
  <c r="W27" i="5"/>
  <c r="W22" i="5" l="1"/>
  <c r="W28" i="5"/>
  <c r="W29" i="5" l="1"/>
  <c r="W23" i="5"/>
  <c r="W30" i="5" l="1"/>
  <c r="W24" i="5"/>
  <c r="W31" i="5" l="1"/>
  <c r="W25" i="5"/>
  <c r="W10" i="5" l="1"/>
  <c r="W26" i="5"/>
  <c r="W9" i="5" l="1"/>
</calcChain>
</file>

<file path=xl/sharedStrings.xml><?xml version="1.0" encoding="utf-8"?>
<sst xmlns="http://schemas.openxmlformats.org/spreadsheetml/2006/main" count="414" uniqueCount="318">
  <si>
    <t>m³/s</t>
  </si>
  <si>
    <t>Density</t>
  </si>
  <si>
    <t>kg/m³</t>
  </si>
  <si>
    <t>Kinematic Viscosity</t>
  </si>
  <si>
    <t>m²/s</t>
  </si>
  <si>
    <t>Pa</t>
  </si>
  <si>
    <t>Check data (0/1)</t>
  </si>
  <si>
    <t>Input data</t>
  </si>
  <si>
    <t>HydrauCalc calculation</t>
  </si>
  <si>
    <t>Excel calculation</t>
  </si>
  <si>
    <t>rho</t>
  </si>
  <si>
    <t>nu</t>
  </si>
  <si>
    <t>Variable name</t>
  </si>
  <si>
    <t>Data verification</t>
  </si>
  <si>
    <t>Cd</t>
  </si>
  <si>
    <t>Pipe data</t>
  </si>
  <si>
    <t>Name</t>
  </si>
  <si>
    <t>Bend data</t>
  </si>
  <si>
    <t>Solver data</t>
  </si>
  <si>
    <t>Difference</t>
  </si>
  <si>
    <t>Reference</t>
  </si>
  <si>
    <t>Reference: AFT Fathom 10 - Examples - Pump Sizing and Selection with Flow Control Valves</t>
  </si>
  <si>
    <t>Flowrate</t>
  </si>
  <si>
    <t>Press. loss</t>
  </si>
  <si>
    <t>Head</t>
  </si>
  <si>
    <t>Heat Exch J5 &amp; J8</t>
  </si>
  <si>
    <t>J4</t>
  </si>
  <si>
    <t>J7</t>
  </si>
  <si>
    <t>K_J4</t>
  </si>
  <si>
    <t>K_J7</t>
  </si>
  <si>
    <t>Q_J4</t>
  </si>
  <si>
    <t>Q_J7</t>
  </si>
  <si>
    <t>dP_J4</t>
  </si>
  <si>
    <t>dP_J7</t>
  </si>
  <si>
    <t>J5</t>
  </si>
  <si>
    <t>J8</t>
  </si>
  <si>
    <t>dP_J5</t>
  </si>
  <si>
    <t>dP_J8</t>
  </si>
  <si>
    <t>dP_P1</t>
  </si>
  <si>
    <t>dP_P2</t>
  </si>
  <si>
    <t>dP_P9</t>
  </si>
  <si>
    <t>dP_P3</t>
  </si>
  <si>
    <t>dP_P4</t>
  </si>
  <si>
    <t>dP_P5</t>
  </si>
  <si>
    <t>dP_P6</t>
  </si>
  <si>
    <t>dP_P7</t>
  </si>
  <si>
    <t>dP_P8</t>
  </si>
  <si>
    <t>dP_J6</t>
  </si>
  <si>
    <t>H_J2</t>
  </si>
  <si>
    <t>P_J2</t>
  </si>
  <si>
    <t>Q_J2</t>
  </si>
  <si>
    <t>Reservoir data</t>
  </si>
  <si>
    <t>J1</t>
  </si>
  <si>
    <t>H_J1</t>
  </si>
  <si>
    <t>J9</t>
  </si>
  <si>
    <t>H_J9</t>
  </si>
  <si>
    <t>P_J1</t>
  </si>
  <si>
    <t>P_J9</t>
  </si>
  <si>
    <t>P2</t>
  </si>
  <si>
    <t>P5</t>
  </si>
  <si>
    <t>P9</t>
  </si>
  <si>
    <t>= P_J1</t>
  </si>
  <si>
    <t>P1</t>
  </si>
  <si>
    <t>J2</t>
  </si>
  <si>
    <t>J6</t>
  </si>
  <si>
    <t>P8</t>
  </si>
  <si>
    <t>P3</t>
  </si>
  <si>
    <t>P4</t>
  </si>
  <si>
    <t>P6</t>
  </si>
  <si>
    <t>P7</t>
  </si>
  <si>
    <t>Ps_J1</t>
  </si>
  <si>
    <t>Ps_J9</t>
  </si>
  <si>
    <t>Comparison of pressure loss coefficient</t>
  </si>
  <si>
    <t>https://hydraucalc.com</t>
  </si>
  <si>
    <t>Legend</t>
  </si>
  <si>
    <t>Unit symbol</t>
  </si>
  <si>
    <t>Fluid data</t>
  </si>
  <si>
    <r>
      <t>Surface elevation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</si>
  <si>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Surface pressure (</t>
    </r>
    <r>
      <rPr>
        <sz val="11"/>
        <color rgb="FF7030A0"/>
        <rFont val="Calibri"/>
        <family val="2"/>
        <scheme val="minor"/>
      </rPr>
      <t>Pa</t>
    </r>
    <r>
      <rPr>
        <sz val="11"/>
        <color theme="1"/>
        <rFont val="Calibri"/>
        <family val="2"/>
        <scheme val="minor"/>
      </rPr>
      <t>)</t>
    </r>
  </si>
  <si>
    <r>
      <t>Diameter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</si>
  <si>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Length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</si>
  <si>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Absolute roughness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</si>
  <si>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t>D_P1</t>
  </si>
  <si>
    <t>D_P2</t>
  </si>
  <si>
    <t>D_P3</t>
  </si>
  <si>
    <t>D_P4</t>
  </si>
  <si>
    <t>D_P5</t>
  </si>
  <si>
    <t>D_P6</t>
  </si>
  <si>
    <t>D_P7</t>
  </si>
  <si>
    <t>D_P8</t>
  </si>
  <si>
    <t>D_P9</t>
  </si>
  <si>
    <t>L_P1</t>
  </si>
  <si>
    <t>e_P1</t>
  </si>
  <si>
    <t>L_P2</t>
  </si>
  <si>
    <t>e_P2</t>
  </si>
  <si>
    <t>L_P3</t>
  </si>
  <si>
    <t>e_P3</t>
  </si>
  <si>
    <t>L_P4</t>
  </si>
  <si>
    <t>e_P4</t>
  </si>
  <si>
    <t>L_P5</t>
  </si>
  <si>
    <t>e_P5</t>
  </si>
  <si>
    <t>L_P6</t>
  </si>
  <si>
    <t>e_P6</t>
  </si>
  <si>
    <t>L_P7</t>
  </si>
  <si>
    <t>e_P7</t>
  </si>
  <si>
    <t>L_P8</t>
  </si>
  <si>
    <t>e_P8</t>
  </si>
  <si>
    <t>L_P9</t>
  </si>
  <si>
    <t>e_P9</t>
  </si>
  <si>
    <t>D_J6</t>
  </si>
  <si>
    <t>C_J6</t>
  </si>
  <si>
    <t>A_J6</t>
  </si>
  <si>
    <t>e_J6</t>
  </si>
  <si>
    <r>
      <t>Curvature radius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</si>
  <si>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Angle (</t>
    </r>
    <r>
      <rPr>
        <sz val="11"/>
        <color rgb="FF7030A0"/>
        <rFont val="Calibri"/>
        <family val="2"/>
        <scheme val="minor"/>
      </rPr>
      <t>°</t>
    </r>
    <r>
      <rPr>
        <sz val="11"/>
        <color theme="1"/>
        <rFont val="Calibri"/>
        <family val="2"/>
        <scheme val="minor"/>
      </rPr>
      <t>)</t>
    </r>
  </si>
  <si>
    <t>m fluid</t>
  </si>
  <si>
    <t>Control valve pressure loss</t>
  </si>
  <si>
    <t>Heat Exchanger pressure loss</t>
  </si>
  <si>
    <t>Pipe pressure loss</t>
  </si>
  <si>
    <t>Bend pressure loss</t>
  </si>
  <si>
    <t>Reservoir pressure at J2 level</t>
  </si>
  <si>
    <t>Pump static head</t>
  </si>
  <si>
    <t>Value to be computed by solver (variable cells)</t>
  </si>
  <si>
    <t>Constraints</t>
  </si>
  <si>
    <t>= Q_J4 + Q_J7</t>
  </si>
  <si>
    <t>Pump volume flowrate</t>
  </si>
  <si>
    <t>= SplineInterpolation(Q_J2;B67:B74;C67:C74;Cd)</t>
  </si>
  <si>
    <t>= PressureLoss_k_Qv_D_Rho(K_J4;Q_J4;D_P4;rho)</t>
  </si>
  <si>
    <t>= PressureLoss_k_Qv_D_Rho(K_J7;Q_J7;D_P8;rho)</t>
  </si>
  <si>
    <t>= SplineInterpolation(Q_J4;B55:B62;$C$55:$C$62;Cd)</t>
  </si>
  <si>
    <t>= SplineInterpolation(Q_J7;B55:B62;C55:C62;Cd)</t>
  </si>
  <si>
    <t>Pump head J2</t>
  </si>
  <si>
    <t>Static pressure at node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</si>
  <si>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</si>
  <si>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</si>
  <si>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</si>
  <si>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</si>
  <si>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</si>
  <si>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</si>
  <si>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</si>
  <si>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</si>
  <si>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</si>
  <si>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</si>
  <si>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n11</t>
  </si>
  <si>
    <t>n12</t>
  </si>
  <si>
    <t>n13</t>
  </si>
  <si>
    <t>n14</t>
  </si>
  <si>
    <t>n15</t>
  </si>
  <si>
    <t>n16</t>
  </si>
  <si>
    <t>= P_n1 - dP_P1</t>
  </si>
  <si>
    <t>= P_n2 + P_J2</t>
  </si>
  <si>
    <t>= P_n3 - dP_P2</t>
  </si>
  <si>
    <t>= P_n4 - dP_P6</t>
  </si>
  <si>
    <t>= P_n5 - dP_J6</t>
  </si>
  <si>
    <t>= P_n6 - dP_P7</t>
  </si>
  <si>
    <t>= P_n7 - dP_J7</t>
  </si>
  <si>
    <t>= P_n8 - dP_P8</t>
  </si>
  <si>
    <t>= P_n9 - dP_J8</t>
  </si>
  <si>
    <t>= P_n10 - dP_P9</t>
  </si>
  <si>
    <t>= P_n4 - dP_P3</t>
  </si>
  <si>
    <t>= P_n12 - dP_J4</t>
  </si>
  <si>
    <t>= P_n13 - dP_P4</t>
  </si>
  <si>
    <t>= P_n14 - dP_J5</t>
  </si>
  <si>
    <t>= P_n15 - dP_P5</t>
  </si>
  <si>
    <t>Find: the pressure loss coefficient of the two control valves to allow a flowrate of 25 m³/h (0.0069444 m³/s) in each heat exchanger</t>
  </si>
  <si>
    <t>Content of neighboring cell</t>
  </si>
  <si>
    <t>n1 to 4</t>
  </si>
  <si>
    <t>dP_1_4</t>
  </si>
  <si>
    <t>n4 to 16</t>
  </si>
  <si>
    <t>n4 to 11</t>
  </si>
  <si>
    <t>dP_4_16</t>
  </si>
  <si>
    <t>dP_4_11</t>
  </si>
  <si>
    <t>= dP_P1 + dP_P2</t>
  </si>
  <si>
    <t>= dP_P3 + dP_J4 + dP_P4 + dP_J5 + dP_P5</t>
  </si>
  <si>
    <t>= dP_P6 + dP_J6 + dP_J7 + dP_P7 + dP_P8 + dP_J8 + dP_P9</t>
  </si>
  <si>
    <t>dH_1_4</t>
  </si>
  <si>
    <t>dH_4_16</t>
  </si>
  <si>
    <t>dH_4_11</t>
  </si>
  <si>
    <t>sL</t>
  </si>
  <si>
    <t>=  sL + ( dH_1_4 / Q_J2^2 ) * V40^2  + ( dH_4_16 / Q_J4 ^2 ) * ( V40 / 2 )^2</t>
  </si>
  <si>
    <t>=  sL + ( dH_1_4 / Q_J2^2 ) * V43^2  + ( dH_4_16 / Q_J4 ^2 ) * ( V43 / 2 )^2</t>
  </si>
  <si>
    <t>=  sL + ( dH_1_4 / Q_J2^2 ) * V44^2  + ( dH_4_16 / Q_J4 ^2 ) * ( V44 / 2 )^2</t>
  </si>
  <si>
    <t>=  sL + ( dH_1_4 / Q_J2^2 ) * V45^2  + ( dH_4_16 / Q_J4 ^2 ) * ( V45 / 2 )^2</t>
  </si>
  <si>
    <t>=  sL + ( dH_1_4 / Q_J2^2 ) * V46^2  + ( dH_4_16 / Q_J4 ^2 ) * ( V46 / 2 )^2</t>
  </si>
  <si>
    <t>=  sL + ( dH_1_4 / Q_J2^2 ) * V41^2  + ( dH_4_16 / Q_J4 ^2 ) * ( V41 / 2 )^2</t>
  </si>
  <si>
    <t>= sL + ( dH_1_4 / Q_J2^2 ) * U42^2  + ( dH_4_16 / Q_J4 ^2 ) * ( U42 / 2 )^2</t>
  </si>
  <si>
    <t>R2022a</t>
  </si>
  <si>
    <t>= StaticPressure_H_Rho_g(H_J2;rho)</t>
  </si>
  <si>
    <t>= Ps_J1 + StaticPressure_H_Rho_g(H_J1;rho)</t>
  </si>
  <si>
    <t>= Ps_J9 + StaticPressure_H_Rho_g(H_J9;rho)</t>
  </si>
  <si>
    <t xml:space="preserve">     P_J9 - P_n11 = 0</t>
  </si>
  <si>
    <t xml:space="preserve">     P_J9 - P_n16 = 0</t>
  </si>
  <si>
    <t>= HeadLoss_dP_Rho_g(dP_1_4;rho)</t>
  </si>
  <si>
    <t>= HeadLoss_dP_Rho_g(dP_4_16;rho)</t>
  </si>
  <si>
    <t>= HeadLoss_dP_Rho_g(dP_4_11;rho)</t>
  </si>
  <si>
    <t>Description of the system:</t>
  </si>
  <si>
    <t>The system is made up of:</t>
  </si>
  <si>
    <t>The assumptions are:</t>
  </si>
  <si>
    <t>The characteristics of the fluid are known.</t>
  </si>
  <si>
    <t>The geometry of the components is known.</t>
  </si>
  <si>
    <t>All the components are located in the same plane.</t>
  </si>
  <si>
    <t xml:space="preserve">J1 Reservoir </t>
  </si>
  <si>
    <t xml:space="preserve">Name = Supply Tank </t>
  </si>
  <si>
    <t xml:space="preserve">Liquid Surface Elevation = 1.5 meters </t>
  </si>
  <si>
    <t xml:space="preserve">Liquid Surface Pressure = 0.7 barG (70 kPa-g) </t>
  </si>
  <si>
    <t xml:space="preserve">Pipe Depth = 1.5 meters </t>
  </si>
  <si>
    <t xml:space="preserve">J9 Reservoir </t>
  </si>
  <si>
    <t xml:space="preserve">Name = Receiving Tank </t>
  </si>
  <si>
    <t xml:space="preserve">Liquid Surface Elevation = 3 meters </t>
  </si>
  <si>
    <t xml:space="preserve">Liquid Surface Pressure = 2 barG (200 kPa-g) </t>
  </si>
  <si>
    <t xml:space="preserve">Pipe Depth for P5 and P9 (on Pipe Depth and Loss Coefficients tab) = 3 meters </t>
  </si>
  <si>
    <t xml:space="preserve">J3 Tee </t>
  </si>
  <si>
    <t xml:space="preserve">Elevation = 0 meters </t>
  </si>
  <si>
    <t xml:space="preserve">Type = Simple </t>
  </si>
  <si>
    <t xml:space="preserve">J6 Elbow </t>
  </si>
  <si>
    <t xml:space="preserve">Type = Standard </t>
  </si>
  <si>
    <t xml:space="preserve">J4 Control Valve and J7 Control Valve </t>
  </si>
  <si>
    <t xml:space="preserve">Valve Type = Flow Control (FCV) </t>
  </si>
  <si>
    <t xml:space="preserve">Volumetric Flow rate = 25 m3/hr </t>
  </si>
  <si>
    <t xml:space="preserve">J5 Heat Exchanger and J8 Heat Exchanger </t>
  </si>
  <si>
    <t xml:space="preserve">Loss Model = Resistance Curve </t>
  </si>
  <si>
    <t xml:space="preserve">Loss Curve Data = 0.7 bar (70 kPa) @ 25 m3/hr </t>
  </si>
  <si>
    <t xml:space="preserve">Click "Fill as Quadratic" and then "Generate Curve Fit Now" </t>
  </si>
  <si>
    <t xml:space="preserve">J2 Pump </t>
  </si>
  <si>
    <t xml:space="preserve">Type = Centrifugal, Sizing, Volumetric Flow Rate Fixed </t>
  </si>
  <si>
    <t xml:space="preserve">Flow rate = 50 m3/hr </t>
  </si>
  <si>
    <t xml:space="preserve">Pipe Properties </t>
  </si>
  <si>
    <t xml:space="preserve">All Pipes - Material = Steel - ANSI, Size = 2 inch, Type = STD (schedule 40), Friction Model = Standard </t>
  </si>
  <si>
    <t xml:space="preserve">P1,  P4, P6, P8 Length = 6 meters </t>
  </si>
  <si>
    <t xml:space="preserve">P2 Length = 15 meters </t>
  </si>
  <si>
    <t xml:space="preserve">P3, P7 Length = 20 meters </t>
  </si>
  <si>
    <t xml:space="preserve">P5, P9 Length = 30 meters </t>
  </si>
  <si>
    <t>Resolution of problem:</t>
  </si>
  <si>
    <t>Remarks:</t>
  </si>
  <si>
    <t>Note 1:</t>
  </si>
  <si>
    <t>Cells containing input data or calculated values are named using Excel's Name Manager.</t>
  </si>
  <si>
    <t>This allows you to manipulate variable names in functions rather than cell addresses.</t>
  </si>
  <si>
    <t>When the cell is named, the name of the cell is recalled to the left of it by a fuschia-colored text.</t>
  </si>
  <si>
    <t>Example: cell E19 has the name "rho" which will be used in functions having density as a parameter.</t>
  </si>
  <si>
    <t>Note 2:</t>
  </si>
  <si>
    <t>A particular cell named "Cd" makes it possible, when setting up the functions for calculating the components,</t>
  </si>
  <si>
    <t>to deactivate all error messages due to unspecified parameters which take the value 0 by default,</t>
  </si>
  <si>
    <t>and which causes divisions by 0 (# DIV / 0!).</t>
  </si>
  <si>
    <t>and data out of validity limits.</t>
  </si>
  <si>
    <t>It is advised to assign the value 0 to this cell during the modelling of the system,</t>
  </si>
  <si>
    <t>and the value 1 during the execution of the calculations.</t>
  </si>
  <si>
    <t>Comparison of results with the reference:</t>
  </si>
  <si>
    <t>The pressure drop at the inlet and outlet of the tanks is neglected.</t>
  </si>
  <si>
    <t>The pressure drop of the junction is neglected.</t>
  </si>
  <si>
    <t>For this, we use Excel's equations solver (which requires the solver to be installed into Excel).</t>
  </si>
  <si>
    <t>At each iteration, the pressure drop of all the components of the system is calculated using the functions integrated in HydrauCalcXL.</t>
  </si>
  <si>
    <t>The heat exchangers flow rate is an input data.</t>
  </si>
  <si>
    <t>When the solver does not find a solution to the problem, it is sometimes necessary to modify the initial guesses.</t>
  </si>
  <si>
    <t>The use of the solver for the pressure loss coefficients requires giving an estimate of the value of the coefficients.</t>
  </si>
  <si>
    <t>In this calculation case, the determination of the pressure loss coefficients of the two control valves requires a certain number of iterations.</t>
  </si>
  <si>
    <t>Description of the contents of the worksheet:</t>
  </si>
  <si>
    <t>• The input data is represented by the formatted cells as follows:</t>
  </si>
  <si>
    <t>Characteristics of the fluid:</t>
  </si>
  <si>
    <t>Characteristics of reservoirs:</t>
  </si>
  <si>
    <t>Characteristics of pipes:</t>
  </si>
  <si>
    <t>Characteristics of bend:</t>
  </si>
  <si>
    <t>Pump head:</t>
  </si>
  <si>
    <t>Heat exchangers pressure loss:</t>
  </si>
  <si>
    <t>• The calculations performed using the functions of the HydrauCalcXL add-in are represented by the cells formatted as follows:</t>
  </si>
  <si>
    <t>The functions used are recalled in gray text.</t>
  </si>
  <si>
    <t>Pressure loss in the components:</t>
  </si>
  <si>
    <t>= HeadLoss_dP_Rho_g(P_J9-P_J1;rho)</t>
  </si>
  <si>
    <t>= P_J9 - P_n11</t>
  </si>
  <si>
    <t>= P_J9 - P_n16</t>
  </si>
  <si>
    <t>Reservoir static lift</t>
  </si>
  <si>
    <t>Pump static head:</t>
  </si>
  <si>
    <t>Reservoir pressure:</t>
  </si>
  <si>
    <t>• The calculations performed using functions built into Excel are represented by cells formatted as follows:</t>
  </si>
  <si>
    <t>Branchs head loss</t>
  </si>
  <si>
    <t>Nodes static pressure:</t>
  </si>
  <si>
    <t>Reservoir static lift:</t>
  </si>
  <si>
    <t>System characteristic</t>
  </si>
  <si>
    <t>System characteristic:</t>
  </si>
  <si>
    <t xml:space="preserve">The pressure drop of the system is plotted by assuming a law in Q² from the operating point </t>
  </si>
  <si>
    <t>Pump head (m fluid)</t>
  </si>
  <si>
    <t>HydrauCalcXL</t>
  </si>
  <si>
    <t>Branchs pressure loss:</t>
  </si>
  <si>
    <t>Pump flowrate:</t>
  </si>
  <si>
    <t>• Solver data for finding a solution:</t>
  </si>
  <si>
    <t>To use Solver, the problem can be viewed as a system of two equations</t>
  </si>
  <si>
    <t>The necessary data for the solver are:</t>
  </si>
  <si>
    <t>The following window is displayed if the solver find a solution.</t>
  </si>
  <si>
    <t>The result obtained is presented in the following figure:</t>
  </si>
  <si>
    <t xml:space="preserve"> for two unknowns who are the pressure loss coefficients of each heat exchanger.</t>
  </si>
  <si>
    <t>the constraints to be respected (cells W9 and W10).</t>
  </si>
  <si>
    <t>The pump head is only used in the graphic of the system working point.</t>
  </si>
  <si>
    <t>Branchs pressure loss</t>
  </si>
  <si>
    <t>In the present system, these initial guesses made it possible to find the solution:</t>
  </si>
  <si>
    <t>The use of the HydrauCalcXL library imposes positive flowrates in all the branches of the studied system,</t>
  </si>
  <si>
    <t>which requires knowing the direction of fluid flow in each branch.</t>
  </si>
  <si>
    <t>Fluid flowrate imposed in each heat exchanger:</t>
  </si>
  <si>
    <t>Volume flowrate</t>
  </si>
  <si>
    <t>For our system, the initial guess of the pressure loss coefficients is fixed at 1.</t>
  </si>
  <si>
    <t>the variable cells which, in our case, are the pressure loss coefficients of each heat exchanger K_J4 and K_J7 Q (cells W6 and W7),</t>
  </si>
  <si>
    <t>and the flowrate in each heat exchanger is compared to the requested flowrate.</t>
  </si>
  <si>
    <t>These equations are:</t>
  </si>
  <si>
    <t xml:space="preserve">  ▪ P_n11 = P_J9 : the pressure at node 11 is equal to the tank pressure at the tank inlet</t>
  </si>
  <si>
    <t xml:space="preserve">  ▪ P_n16 = P_J9 : the pressure at node 16 is equal to the tank pressure at the tank inlet</t>
  </si>
  <si>
    <t>Two equations are needed to solve this system.</t>
  </si>
  <si>
    <t>=BendSmoothCircularCrossSection_dP(D_J6;F46;H46;e_J6;Q_J7;rho;nu;1;;;Cd;L59)</t>
  </si>
  <si>
    <t>= PipeStraightCircularCrossSection_dP(D_P1;L_P1;Q_J2;rho;nu;2;e_P1;;;Cd;L48)</t>
  </si>
  <si>
    <t>= PipeStraightCircularCrossSection_dP(D_P2;L_P2;Q_J2;rho;nu;2;e_P2;;;Cd;L49)</t>
  </si>
  <si>
    <t>= PipeStraightCircularCrossSection_dP(D_P3;L_P3;Q_J4;rho;nu;2;e_P3;;;Cd;L50)</t>
  </si>
  <si>
    <t>= PipeStraightCircularCrossSection_dP(D_P4;L_P4;Q_J4;rho;nu;2;e_P4;;;Cd;L51)</t>
  </si>
  <si>
    <t>= PipeStraightCircularCrossSection_dP(D_P5;L_P5;Q_J4;rho;nu;2;e_P5;;;Cd;L52)</t>
  </si>
  <si>
    <t>= PipeStraightCircularCrossSection_dP(D_P6;L_P6;Q_J7;rho;nu;2;e_P6;;;Cd;L53)</t>
  </si>
  <si>
    <t>= PipeStraightCircularCrossSection_dP(D_P7;L_P7;Q_J7;rho;nu;2;e_P7;;;Cd;L54)</t>
  </si>
  <si>
    <t>= PipeStraightCircularCrossSection_dP(D_P8;L_P8;Q_J7;rho;nu;2;e_P8;;;Cd;L55)</t>
  </si>
  <si>
    <t>= PipeStraightCircularCrossSection_dP(D_P9;L_P9;Q_J7;rho;nu;2;e_P9;;;Cd;L56)</t>
  </si>
  <si>
    <t>Important notes:</t>
  </si>
  <si>
    <t>Before each new execution of the solver, it is advisable to replace the variable cells by the initial guesses.</t>
  </si>
  <si>
    <t>Sometimes the solver does not find a solution when it is restarted while keeping the variable cells</t>
  </si>
  <si>
    <t>resulting from the previous calculation.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</si>
</sst>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0"/>
    <numFmt numFmtId="165" formatCode="0.00000"/>
    <numFmt numFmtId="166" formatCode="0.000000"/>
    <numFmt numFmtId="167" formatCode="0.000E+00"/>
    <numFmt numFmtId="168" formatCode="0.0000E+00"/>
    <numFmt numFmtId="169" formatCode="0.000%"/>
    <numFmt numFmtId="170" formatCode="0.000"/>
    <numFmt numFmtId="171" formatCode="0.0"/>
  </numFmts>
  <fonts count="30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1"/>
      <color rgb="FF548235"/>
      <name val="Calibri"/>
      <family val="2"/>
      <scheme val="minor"/>
    </font>
    <font>
      <sz val="11"/>
      <color rgb="FFED7D31"/>
      <name val="Calibri"/>
      <family val="2"/>
      <scheme val="minor"/>
    </font>
    <font>
      <sz val="11"/>
      <color theme="5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538DD5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rgb="FF548235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3DEF8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ck">
        <color rgb="FF548235"/>
      </left>
      <right/>
      <top style="thick">
        <color rgb="FF548235"/>
      </top>
      <bottom style="thick">
        <color rgb="FF548235"/>
      </bottom>
      <diagonal/>
    </border>
    <border>
      <left/>
      <right/>
      <top style="thick">
        <color rgb="FF548235"/>
      </top>
      <bottom style="thick">
        <color rgb="FF548235"/>
      </bottom>
      <diagonal/>
    </border>
    <border>
      <left/>
      <right style="thick">
        <color rgb="FF548235"/>
      </right>
      <top style="thick">
        <color rgb="FF548235"/>
      </top>
      <bottom style="thick">
        <color rgb="FF548235"/>
      </bottom>
      <diagonal/>
    </border>
    <border>
      <left style="thick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 style="thick">
        <color rgb="FF548235"/>
      </right>
      <top/>
      <bottom/>
      <diagonal/>
    </border>
    <border>
      <left style="thick">
        <color rgb="FF548235"/>
      </left>
      <right style="thin">
        <color rgb="FF548235"/>
      </right>
      <top style="thin">
        <color rgb="FF548235"/>
      </top>
      <bottom style="thick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thick">
        <color rgb="FF548235"/>
      </bottom>
      <diagonal/>
    </border>
    <border>
      <left style="thin">
        <color rgb="FF548235"/>
      </left>
      <right style="thick">
        <color rgb="FF548235"/>
      </right>
      <top style="thin">
        <color rgb="FF548235"/>
      </top>
      <bottom style="thick">
        <color rgb="FF548235"/>
      </bottom>
      <diagonal/>
    </border>
    <border>
      <left style="thick">
        <color rgb="FF548235"/>
      </left>
      <right style="thin">
        <color rgb="FF548235"/>
      </right>
      <top style="thick">
        <color rgb="FF548235"/>
      </top>
      <bottom style="thick">
        <color rgb="FF548235"/>
      </bottom>
      <diagonal/>
    </border>
    <border>
      <left style="thin">
        <color rgb="FF548235"/>
      </left>
      <right style="thin">
        <color rgb="FF548235"/>
      </right>
      <top style="thick">
        <color rgb="FF548235"/>
      </top>
      <bottom style="thick">
        <color rgb="FF548235"/>
      </bottom>
      <diagonal/>
    </border>
    <border>
      <left style="thin">
        <color rgb="FF548235"/>
      </left>
      <right style="thick">
        <color rgb="FF548235"/>
      </right>
      <top style="thick">
        <color rgb="FF548235"/>
      </top>
      <bottom style="thick">
        <color rgb="FF548235"/>
      </bottom>
      <diagonal/>
    </border>
    <border>
      <left style="medium">
        <color rgb="FFFABF8F"/>
      </left>
      <right style="medium">
        <color rgb="FFFABF8F"/>
      </right>
      <top style="medium">
        <color rgb="FFFABF8F"/>
      </top>
      <bottom style="medium">
        <color rgb="FFFABF8F"/>
      </bottom>
      <diagonal/>
    </border>
    <border>
      <left style="medium">
        <color rgb="FF76933C"/>
      </left>
      <right style="medium">
        <color rgb="FF76933C"/>
      </right>
      <top style="medium">
        <color rgb="FF76933C"/>
      </top>
      <bottom style="medium">
        <color rgb="FF76933C"/>
      </bottom>
      <diagonal/>
    </border>
    <border>
      <left style="medium">
        <color rgb="FF482CBC"/>
      </left>
      <right style="medium">
        <color rgb="FF482CBC"/>
      </right>
      <top style="medium">
        <color rgb="FF482CBC"/>
      </top>
      <bottom style="medium">
        <color rgb="FF482CBC"/>
      </bottom>
      <diagonal/>
    </border>
    <border>
      <left style="thin">
        <color rgb="FF548235"/>
      </left>
      <right style="thin">
        <color rgb="FF548235"/>
      </right>
      <top style="thick">
        <color rgb="FF548235"/>
      </top>
      <bottom style="thin">
        <color rgb="FF548235"/>
      </bottom>
      <diagonal/>
    </border>
    <border>
      <left style="thin">
        <color rgb="FF548235"/>
      </left>
      <right style="thin">
        <color rgb="FF548235"/>
      </right>
      <top style="thick">
        <color rgb="FF548235"/>
      </top>
      <bottom/>
      <diagonal/>
    </border>
    <border>
      <left style="thick">
        <color rgb="FF548235"/>
      </left>
      <right style="thin">
        <color rgb="FF548235"/>
      </right>
      <top style="thick">
        <color rgb="FF548235"/>
      </top>
      <bottom/>
      <diagonal/>
    </border>
    <border>
      <left style="thin">
        <color rgb="FF548235"/>
      </left>
      <right style="thick">
        <color rgb="FF548235"/>
      </right>
      <top style="thick">
        <color rgb="FF548235"/>
      </top>
      <bottom/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9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Border="1"/>
    <xf numFmtId="0" fontId="8" fillId="0" borderId="0" xfId="0" applyFont="1"/>
    <xf numFmtId="0" fontId="9" fillId="0" borderId="0" xfId="0" applyFont="1"/>
    <xf numFmtId="0" fontId="12" fillId="0" borderId="0" xfId="0" applyFont="1"/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6" fillId="0" borderId="0" xfId="0" applyFont="1"/>
    <xf numFmtId="0" fontId="4" fillId="0" borderId="0" xfId="0" quotePrefix="1" applyFont="1"/>
    <xf numFmtId="1" fontId="5" fillId="0" borderId="0" xfId="0" applyNumberFormat="1" applyFont="1" applyBorder="1" applyAlignment="1">
      <alignment horizontal="center"/>
    </xf>
    <xf numFmtId="170" fontId="0" fillId="0" borderId="0" xfId="0" applyNumberFormat="1" applyAlignment="1">
      <alignment horizontal="left"/>
    </xf>
    <xf numFmtId="170" fontId="14" fillId="0" borderId="0" xfId="0" applyNumberFormat="1" applyFont="1" applyAlignment="1">
      <alignment horizontal="left"/>
    </xf>
    <xf numFmtId="0" fontId="13" fillId="0" borderId="0" xfId="0" applyFont="1" applyFill="1" applyBorder="1"/>
    <xf numFmtId="0" fontId="15" fillId="0" borderId="0" xfId="0" applyFont="1"/>
    <xf numFmtId="0" fontId="16" fillId="0" borderId="0" xfId="2"/>
    <xf numFmtId="0" fontId="17" fillId="0" borderId="0" xfId="0" applyFont="1"/>
    <xf numFmtId="0" fontId="13" fillId="0" borderId="0" xfId="0" applyFont="1"/>
    <xf numFmtId="0" fontId="0" fillId="2" borderId="13" xfId="0" applyFill="1" applyBorder="1" applyAlignment="1">
      <alignment horizontal="center"/>
    </xf>
    <xf numFmtId="0" fontId="13" fillId="0" borderId="0" xfId="0" quotePrefix="1" applyFont="1"/>
    <xf numFmtId="0" fontId="0" fillId="3" borderId="14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18" fillId="0" borderId="0" xfId="0" applyFont="1"/>
    <xf numFmtId="0" fontId="12" fillId="0" borderId="0" xfId="0" applyFont="1" applyAlignment="1">
      <alignment horizontal="center"/>
    </xf>
    <xf numFmtId="0" fontId="11" fillId="0" borderId="0" xfId="0" applyFont="1"/>
    <xf numFmtId="168" fontId="11" fillId="0" borderId="0" xfId="0" applyNumberFormat="1" applyFont="1"/>
    <xf numFmtId="168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6" fontId="0" fillId="2" borderId="13" xfId="0" applyNumberFormat="1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167" fontId="0" fillId="2" borderId="13" xfId="0" applyNumberFormat="1" applyFill="1" applyBorder="1" applyAlignment="1">
      <alignment horizontal="center"/>
    </xf>
    <xf numFmtId="0" fontId="18" fillId="0" borderId="0" xfId="0" applyFont="1" applyAlignment="1">
      <alignment horizontal="center"/>
    </xf>
    <xf numFmtId="1" fontId="0" fillId="2" borderId="13" xfId="0" applyNumberFormat="1" applyFill="1" applyBorder="1" applyAlignment="1">
      <alignment horizontal="center"/>
    </xf>
    <xf numFmtId="2" fontId="0" fillId="2" borderId="13" xfId="0" applyNumberFormat="1" applyFill="1" applyBorder="1" applyAlignment="1">
      <alignment horizontal="center"/>
    </xf>
    <xf numFmtId="165" fontId="1" fillId="0" borderId="0" xfId="0" applyNumberFormat="1" applyFont="1" applyBorder="1" applyAlignment="1"/>
    <xf numFmtId="0" fontId="19" fillId="0" borderId="0" xfId="0" quotePrefix="1" applyFont="1"/>
    <xf numFmtId="165" fontId="17" fillId="0" borderId="0" xfId="0" applyNumberFormat="1" applyFont="1" applyBorder="1" applyAlignment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1" fontId="0" fillId="4" borderId="15" xfId="0" applyNumberFormat="1" applyFill="1" applyBorder="1" applyAlignment="1">
      <alignment horizontal="center"/>
    </xf>
    <xf numFmtId="170" fontId="0" fillId="4" borderId="15" xfId="0" applyNumberFormat="1" applyFill="1" applyBorder="1" applyAlignment="1">
      <alignment horizontal="center"/>
    </xf>
    <xf numFmtId="0" fontId="17" fillId="5" borderId="0" xfId="0" applyFont="1" applyFill="1"/>
    <xf numFmtId="0" fontId="0" fillId="5" borderId="0" xfId="0" applyFill="1"/>
    <xf numFmtId="0" fontId="13" fillId="5" borderId="0" xfId="0" applyFont="1" applyFill="1"/>
    <xf numFmtId="0" fontId="12" fillId="5" borderId="0" xfId="0" applyFont="1" applyFill="1" applyAlignment="1">
      <alignment horizontal="center"/>
    </xf>
    <xf numFmtId="165" fontId="0" fillId="5" borderId="14" xfId="0" applyNumberFormat="1" applyFill="1" applyBorder="1" applyAlignment="1">
      <alignment horizontal="center"/>
    </xf>
    <xf numFmtId="0" fontId="18" fillId="5" borderId="0" xfId="0" applyFont="1" applyFill="1"/>
    <xf numFmtId="171" fontId="0" fillId="5" borderId="14" xfId="0" applyNumberFormat="1" applyFill="1" applyBorder="1" applyAlignment="1">
      <alignment horizontal="center"/>
    </xf>
    <xf numFmtId="170" fontId="0" fillId="5" borderId="14" xfId="0" applyNumberFormat="1" applyFill="1" applyBorder="1" applyAlignment="1">
      <alignment horizontal="center"/>
    </xf>
    <xf numFmtId="0" fontId="14" fillId="0" borderId="0" xfId="0" applyFont="1"/>
    <xf numFmtId="1" fontId="0" fillId="5" borderId="14" xfId="0" applyNumberFormat="1" applyFill="1" applyBorder="1" applyAlignment="1">
      <alignment horizontal="center"/>
    </xf>
    <xf numFmtId="170" fontId="0" fillId="2" borderId="13" xfId="0" applyNumberForma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quotePrefix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3" borderId="14" xfId="0" applyNumberFormat="1" applyFill="1" applyBorder="1" applyAlignment="1">
      <alignment horizontal="center"/>
    </xf>
    <xf numFmtId="0" fontId="11" fillId="5" borderId="0" xfId="0" quotePrefix="1" applyFont="1" applyFill="1"/>
    <xf numFmtId="170" fontId="0" fillId="3" borderId="14" xfId="0" applyNumberFormat="1" applyFill="1" applyBorder="1" applyAlignment="1">
      <alignment horizontal="center"/>
    </xf>
    <xf numFmtId="1" fontId="0" fillId="3" borderId="14" xfId="0" applyNumberFormat="1" applyFill="1" applyBorder="1" applyAlignment="1">
      <alignment horizontal="center"/>
    </xf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10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164" fontId="25" fillId="0" borderId="5" xfId="0" applyNumberFormat="1" applyFont="1" applyBorder="1" applyAlignment="1">
      <alignment horizontal="center"/>
    </xf>
    <xf numFmtId="169" fontId="26" fillId="0" borderId="6" xfId="1" applyNumberFormat="1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164" fontId="25" fillId="0" borderId="8" xfId="0" applyNumberFormat="1" applyFont="1" applyBorder="1" applyAlignment="1">
      <alignment horizontal="center"/>
    </xf>
    <xf numFmtId="164" fontId="26" fillId="0" borderId="8" xfId="0" applyNumberFormat="1" applyFont="1" applyBorder="1" applyAlignment="1">
      <alignment horizontal="center"/>
    </xf>
    <xf numFmtId="169" fontId="26" fillId="0" borderId="9" xfId="1" applyNumberFormat="1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164" fontId="26" fillId="0" borderId="16" xfId="0" applyNumberFormat="1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171" fontId="23" fillId="0" borderId="10" xfId="0" applyNumberFormat="1" applyFont="1" applyBorder="1" applyAlignment="1">
      <alignment horizontal="center"/>
    </xf>
    <xf numFmtId="170" fontId="23" fillId="0" borderId="11" xfId="0" applyNumberFormat="1" applyFont="1" applyBorder="1" applyAlignment="1">
      <alignment horizontal="center"/>
    </xf>
    <xf numFmtId="169" fontId="23" fillId="0" borderId="12" xfId="1" applyNumberFormat="1" applyFont="1" applyBorder="1" applyAlignment="1">
      <alignment horizontal="center"/>
    </xf>
    <xf numFmtId="0" fontId="27" fillId="0" borderId="0" xfId="2" applyFont="1"/>
    <xf numFmtId="0" fontId="28" fillId="0" borderId="0" xfId="0" applyFont="1"/>
    <xf numFmtId="0" fontId="29" fillId="0" borderId="0" xfId="0" applyFont="1"/>
    <xf numFmtId="165" fontId="22" fillId="0" borderId="1" xfId="0" applyNumberFormat="1" applyFont="1" applyBorder="1" applyAlignment="1">
      <alignment horizontal="center"/>
    </xf>
    <xf numFmtId="165" fontId="22" fillId="0" borderId="2" xfId="0" applyNumberFormat="1" applyFont="1" applyBorder="1" applyAlignment="1">
      <alignment horizontal="center"/>
    </xf>
    <xf numFmtId="165" fontId="22" fillId="0" borderId="3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1464F4"/>
      <color rgb="FF548235"/>
      <color rgb="FFF040D7"/>
      <color rgb="FFED7D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200"/>
              <a:t>Heat Exch J5 &amp; J8</a:t>
            </a:r>
            <a:r>
              <a:rPr lang="fr-FR" sz="1200" baseline="0"/>
              <a:t>- Pressure loss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21375390640645245"/>
          <c:y val="0.2008695652173913"/>
          <c:w val="0.7191067792592144"/>
          <c:h val="0.54879242268629469"/>
        </c:manualLayout>
      </c:layout>
      <c:scatterChart>
        <c:scatterStyle val="smoothMarker"/>
        <c:varyColors val="0"/>
        <c:ser>
          <c:idx val="3"/>
          <c:order val="0"/>
          <c:tx>
            <c:v>Heat exchanger curve J5 &amp; J8</c:v>
          </c:tx>
          <c:spPr>
            <a:ln w="28575">
              <a:solidFill>
                <a:schemeClr val="accent4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4"/>
              </a:solidFill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System!$B$51:$B$58</c:f>
              <c:numCache>
                <c:formatCode>0.0000</c:formatCode>
                <c:ptCount val="8"/>
                <c:pt idx="0">
                  <c:v>0</c:v>
                </c:pt>
                <c:pt idx="1">
                  <c:v>2.5000000000000001E-3</c:v>
                </c:pt>
                <c:pt idx="2">
                  <c:v>5.0000000000000001E-3</c:v>
                </c:pt>
                <c:pt idx="3">
                  <c:v>7.4999999999999997E-3</c:v>
                </c:pt>
                <c:pt idx="4">
                  <c:v>0.01</c:v>
                </c:pt>
                <c:pt idx="5">
                  <c:v>1.2500000000000001E-2</c:v>
                </c:pt>
                <c:pt idx="6">
                  <c:v>1.4999999999999999E-2</c:v>
                </c:pt>
                <c:pt idx="7">
                  <c:v>1.7500000000000002E-2</c:v>
                </c:pt>
              </c:numCache>
            </c:numRef>
          </c:xVal>
          <c:yVal>
            <c:numRef>
              <c:f>System!$C$51:$C$58</c:f>
              <c:numCache>
                <c:formatCode>0</c:formatCode>
                <c:ptCount val="8"/>
                <c:pt idx="0">
                  <c:v>0</c:v>
                </c:pt>
                <c:pt idx="1">
                  <c:v>9071.9999999968022</c:v>
                </c:pt>
                <c:pt idx="2">
                  <c:v>36287.999999993604</c:v>
                </c:pt>
                <c:pt idx="3">
                  <c:v>81647.99999999041</c:v>
                </c:pt>
                <c:pt idx="4">
                  <c:v>145151.99999998719</c:v>
                </c:pt>
                <c:pt idx="5">
                  <c:v>226799.99999998399</c:v>
                </c:pt>
                <c:pt idx="6">
                  <c:v>326591.99999998079</c:v>
                </c:pt>
                <c:pt idx="7">
                  <c:v>444527.99999997765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60D-4CC1-9DEB-A7D13B9F6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047624"/>
        <c:axId val="779045984"/>
      </c:scatterChart>
      <c:valAx>
        <c:axId val="779047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flowrate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5984"/>
        <c:crosses val="autoZero"/>
        <c:crossBetween val="midCat"/>
      </c:valAx>
      <c:valAx>
        <c:axId val="77904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Pressure loss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7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Pump J2 - Head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902112788116081"/>
          <c:y val="0.23016011644832607"/>
          <c:w val="0.75392237306005716"/>
          <c:h val="0.51840869236323628"/>
        </c:manualLayout>
      </c:layout>
      <c:scatterChart>
        <c:scatterStyle val="smoothMarker"/>
        <c:varyColors val="0"/>
        <c:ser>
          <c:idx val="2"/>
          <c:order val="0"/>
          <c:tx>
            <c:v>Pump curve J2</c:v>
          </c:tx>
          <c:spPr>
            <a:ln w="28575">
              <a:solidFill>
                <a:schemeClr val="accent3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3"/>
              </a:solidFill>
              <a:ln w="9525" cap="flat" cmpd="sng" algn="ctr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System!$B$63:$B$70</c:f>
              <c:numCache>
                <c:formatCode>0.000</c:formatCode>
                <c:ptCount val="8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</c:numCache>
            </c:numRef>
          </c:xVal>
          <c:yVal>
            <c:numRef>
              <c:f>System!$C$63:$C$70</c:f>
              <c:numCache>
                <c:formatCode>0.00</c:formatCode>
                <c:ptCount val="8"/>
                <c:pt idx="0">
                  <c:v>60</c:v>
                </c:pt>
                <c:pt idx="1">
                  <c:v>59.927999999999997</c:v>
                </c:pt>
                <c:pt idx="2">
                  <c:v>57.911999999999999</c:v>
                </c:pt>
                <c:pt idx="3">
                  <c:v>53.951999999999998</c:v>
                </c:pt>
                <c:pt idx="4">
                  <c:v>48.048000000000002</c:v>
                </c:pt>
                <c:pt idx="5">
                  <c:v>40.200000000000003</c:v>
                </c:pt>
                <c:pt idx="6">
                  <c:v>30.408000000000001</c:v>
                </c:pt>
                <c:pt idx="7">
                  <c:v>18.671999999999983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7BA-4DCA-B41C-DF0E7E05E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047624"/>
        <c:axId val="779045984"/>
      </c:scatterChart>
      <c:valAx>
        <c:axId val="779047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flowrate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5984"/>
        <c:crosses val="autoZero"/>
        <c:crossBetween val="midCat"/>
      </c:valAx>
      <c:valAx>
        <c:axId val="77904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Head (m fluid)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7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System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902112788116081"/>
          <c:y val="0.13281863132223798"/>
          <c:w val="0.75392237306005716"/>
          <c:h val="0.73742724363878842"/>
        </c:manualLayout>
      </c:layout>
      <c:scatterChart>
        <c:scatterStyle val="smoothMarker"/>
        <c:varyColors val="0"/>
        <c:ser>
          <c:idx val="2"/>
          <c:order val="0"/>
          <c:tx>
            <c:v>Pump caracteristic</c:v>
          </c:tx>
          <c:spPr>
            <a:ln w="28575">
              <a:solidFill>
                <a:schemeClr val="accent5"/>
              </a:solidFill>
            </a:ln>
            <a:effectLst/>
          </c:spPr>
          <c:marker>
            <c:symbol val="none"/>
          </c:marker>
          <c:xVal>
            <c:numRef>
              <c:f>System!$B$63:$B$70</c:f>
              <c:numCache>
                <c:formatCode>0.000</c:formatCode>
                <c:ptCount val="8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</c:numCache>
            </c:numRef>
          </c:xVal>
          <c:yVal>
            <c:numRef>
              <c:f>System!$C$63:$C$70</c:f>
              <c:numCache>
                <c:formatCode>0.00</c:formatCode>
                <c:ptCount val="8"/>
                <c:pt idx="0">
                  <c:v>60</c:v>
                </c:pt>
                <c:pt idx="1">
                  <c:v>59.927999999999997</c:v>
                </c:pt>
                <c:pt idx="2">
                  <c:v>57.911999999999999</c:v>
                </c:pt>
                <c:pt idx="3">
                  <c:v>53.951999999999998</c:v>
                </c:pt>
                <c:pt idx="4">
                  <c:v>48.048000000000002</c:v>
                </c:pt>
                <c:pt idx="5">
                  <c:v>40.200000000000003</c:v>
                </c:pt>
                <c:pt idx="6">
                  <c:v>30.408000000000001</c:v>
                </c:pt>
                <c:pt idx="7">
                  <c:v>18.671999999999983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7BA-4DCA-B41C-DF0E7E05E175}"/>
            </c:ext>
          </c:extLst>
        </c:ser>
        <c:ser>
          <c:idx val="1"/>
          <c:order val="1"/>
          <c:tx>
            <c:v>System caracteristic</c:v>
          </c:tx>
          <c:spPr>
            <a:ln w="28575">
              <a:solidFill>
                <a:schemeClr val="accent6">
                  <a:lumMod val="75000"/>
                </a:schemeClr>
              </a:solidFill>
            </a:ln>
            <a:effectLst/>
          </c:spPr>
          <c:marker>
            <c:symbol val="none"/>
          </c:marker>
          <c:xVal>
            <c:numRef>
              <c:f>System!$U$39:$U$45</c:f>
              <c:numCache>
                <c:formatCode>0.0000</c:formatCode>
                <c:ptCount val="7"/>
                <c:pt idx="0">
                  <c:v>0</c:v>
                </c:pt>
                <c:pt idx="1">
                  <c:v>2.5000000000000001E-3</c:v>
                </c:pt>
                <c:pt idx="2">
                  <c:v>5.0000000000000001E-3</c:v>
                </c:pt>
                <c:pt idx="3">
                  <c:v>7.4999999999999997E-3</c:v>
                </c:pt>
                <c:pt idx="4">
                  <c:v>0.01</c:v>
                </c:pt>
                <c:pt idx="5">
                  <c:v>1.2500000000000001E-2</c:v>
                </c:pt>
                <c:pt idx="6">
                  <c:v>1.4999999999999999E-2</c:v>
                </c:pt>
              </c:numCache>
            </c:numRef>
          </c:xVal>
          <c:yVal>
            <c:numRef>
              <c:f>System!$V$39:$V$45</c:f>
              <c:numCache>
                <c:formatCode>0.000</c:formatCode>
                <c:ptCount val="7"/>
                <c:pt idx="0">
                  <c:v>14.781432151794434</c:v>
                </c:pt>
                <c:pt idx="1">
                  <c:v>16.084403038787841</c:v>
                </c:pt>
                <c:pt idx="2">
                  <c:v>19.993315699768068</c:v>
                </c:pt>
                <c:pt idx="3">
                  <c:v>26.508170134735106</c:v>
                </c:pt>
                <c:pt idx="4">
                  <c:v>35.628966343688965</c:v>
                </c:pt>
                <c:pt idx="5">
                  <c:v>47.355704326629642</c:v>
                </c:pt>
                <c:pt idx="6">
                  <c:v>61.688384083557125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DB6-4348-9585-DA04224901DC}"/>
            </c:ext>
          </c:extLst>
        </c:ser>
        <c:ser>
          <c:idx val="0"/>
          <c:order val="2"/>
          <c:tx>
            <c:v>Working point</c:v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0.35446668453069025"/>
                  <c:y val="4.325173525262714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dk1">
                            <a:lumMod val="50000"/>
                            <a:lumOff val="50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089D5D9-4D0D-499B-AB92-F81700F45697}" type="CELLRANGE">
                      <a:rPr lang="en-US"/>
                      <a:pPr>
                        <a:defRPr/>
                      </a:pPr>
                      <a:t>[PLAGECELL]</a:t>
                    </a:fld>
                    <a:endParaRPr lang="en-US" baseline="0"/>
                  </a:p>
                  <a:p>
                    <a:pPr>
                      <a:defRPr/>
                    </a:pPr>
                    <a:fld id="{6BC80F7D-09FD-494E-BAA1-437C7ABFAC02}" type="YVALUE">
                      <a:rPr lang="en-US"/>
                      <a:pPr>
                        <a:defRPr/>
                      </a:pPr>
                      <a:t>[VALEUR Y]</a:t>
                    </a:fld>
                    <a:endParaRPr lang="fr-FR"/>
                  </a:p>
                </c:rich>
              </c:tx>
              <c:numFmt formatCode="#,##0.00" sourceLinked="0"/>
              <c:spPr>
                <a:solidFill>
                  <a:schemeClr val="bg1"/>
                </a:solidFill>
                <a:ln>
                  <a:solidFill>
                    <a:schemeClr val="tx1">
                      <a:alpha val="20000"/>
                    </a:schemeClr>
                  </a:solidFill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6879381023774348"/>
                      <c:h val="9.002874465634348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DB6-4348-9585-DA04224901DC}"/>
                </c:ext>
              </c:extLst>
            </c:dLbl>
            <c:spPr>
              <a:noFill/>
              <a:ln>
                <a:solidFill>
                  <a:schemeClr val="tx1">
                    <a:alpha val="2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System!$W$13</c:f>
              <c:numCache>
                <c:formatCode>0.00000</c:formatCode>
                <c:ptCount val="1"/>
                <c:pt idx="0">
                  <c:v>1.3888888888888888E-2</c:v>
                </c:pt>
              </c:numCache>
            </c:numRef>
          </c:xVal>
          <c:yVal>
            <c:numRef>
              <c:f>System!$N$62</c:f>
              <c:numCache>
                <c:formatCode>0.000</c:formatCode>
                <c:ptCount val="1"/>
                <c:pt idx="0">
                  <c:v>54.99658203125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datalabelsRange>
                <c15:f>(System!$W$13,System!$N$62)</c15:f>
                <c15:dlblRangeCache>
                  <c:ptCount val="2"/>
                  <c:pt idx="0">
                    <c:v>0,01389</c:v>
                  </c:pt>
                  <c:pt idx="1">
                    <c:v>54,997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4603-42FF-A425-4515D5A75D3C}"/>
            </c:ext>
          </c:extLst>
        </c:ser>
        <c:ser>
          <c:idx val="3"/>
          <c:order val="3"/>
          <c:tx>
            <c:v>Static lift</c:v>
          </c:tx>
          <c:spPr>
            <a:ln w="28575">
              <a:noFill/>
            </a:ln>
            <a:effectLst/>
          </c:spPr>
          <c:marker>
            <c:symbol val="diamond"/>
            <c:size val="7"/>
            <c:spPr>
              <a:solidFill>
                <a:srgbClr val="0070C0"/>
              </a:solidFill>
              <a:ln w="9525" cap="flat" cmpd="sng" algn="ctr">
                <a:noFill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9.289617353102745E-3"/>
                  <c:y val="5.9750878412635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C22-4930-A1E9-4F13615876AC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tx1">
                    <a:alpha val="2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Ref>
              <c:f>System!$W$34</c:f>
              <c:numCache>
                <c:formatCode>0.000</c:formatCode>
                <c:ptCount val="1"/>
                <c:pt idx="0">
                  <c:v>14.781432151794434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C22-4930-A1E9-4F1361587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047624"/>
        <c:axId val="779045984"/>
      </c:scatterChart>
      <c:valAx>
        <c:axId val="779047624"/>
        <c:scaling>
          <c:orientation val="minMax"/>
          <c:max val="2.0000000000000004E-2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Pump flowrate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5984"/>
        <c:crosses val="autoZero"/>
        <c:crossBetween val="midCat"/>
      </c:valAx>
      <c:valAx>
        <c:axId val="77904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Head (m fluid)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7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1038815727395326"/>
          <c:y val="0.60115001760146303"/>
          <c:w val="0.4179096507908488"/>
          <c:h val="0.25825968025115853"/>
        </c:manualLayout>
      </c:layout>
      <c:overlay val="0"/>
      <c:spPr>
        <a:solidFill>
          <a:schemeClr val="bg1"/>
        </a:solidFill>
        <a:ln>
          <a:solidFill>
            <a:schemeClr val="tx1">
              <a:alpha val="2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3.xml"/><Relationship Id="rId4" Type="http://schemas.openxmlformats.org/officeDocument/2006/relationships/image" Target="../media/image2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84365</xdr:colOff>
      <xdr:row>14</xdr:row>
      <xdr:rowOff>99333</xdr:rowOff>
    </xdr:from>
    <xdr:to>
      <xdr:col>11</xdr:col>
      <xdr:colOff>68036</xdr:colOff>
      <xdr:row>41</xdr:row>
      <xdr:rowOff>166727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E32FAEC3-C1A0-468C-B55A-D1BE7D43CF1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6365" y="1405619"/>
          <a:ext cx="6079671" cy="5221059"/>
        </a:xfrm>
        <a:prstGeom prst="rect">
          <a:avLst/>
        </a:prstGeom>
        <a:ln w="12700">
          <a:solidFill>
            <a:schemeClr val="accent1"/>
          </a:solidFill>
        </a:ln>
        <a:effectLst>
          <a:glow rad="127000">
            <a:srgbClr val="1464F4">
              <a:alpha val="40000"/>
            </a:srgbClr>
          </a:glow>
        </a:effectLst>
      </xdr:spPr>
    </xdr:pic>
    <xdr:clientData/>
  </xdr:twoCellAnchor>
  <xdr:twoCellAnchor editAs="oneCell">
    <xdr:from>
      <xdr:col>1</xdr:col>
      <xdr:colOff>65535</xdr:colOff>
      <xdr:row>1</xdr:row>
      <xdr:rowOff>25874</xdr:rowOff>
    </xdr:from>
    <xdr:to>
      <xdr:col>4</xdr:col>
      <xdr:colOff>233243</xdr:colOff>
      <xdr:row>3</xdr:row>
      <xdr:rowOff>4512</xdr:rowOff>
    </xdr:to>
    <xdr:pic>
      <xdr:nvPicPr>
        <xdr:cNvPr id="7" name="Image 5">
          <a:extLst>
            <a:ext uri="{FF2B5EF4-FFF2-40B4-BE49-F238E27FC236}">
              <a16:creationId xmlns:a16="http://schemas.microsoft.com/office/drawing/2014/main" id="{15F3E4B8-2131-4B97-A9F7-9FE5534699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7535" y="216374"/>
          <a:ext cx="1310708" cy="517481"/>
        </a:xfrm>
        <a:prstGeom prst="rect">
          <a:avLst/>
        </a:prstGeom>
      </xdr:spPr>
    </xdr:pic>
    <xdr:clientData/>
  </xdr:twoCellAnchor>
  <xdr:twoCellAnchor editAs="oneCell">
    <xdr:from>
      <xdr:col>3</xdr:col>
      <xdr:colOff>9525</xdr:colOff>
      <xdr:row>121</xdr:row>
      <xdr:rowOff>66675</xdr:rowOff>
    </xdr:from>
    <xdr:to>
      <xdr:col>8</xdr:col>
      <xdr:colOff>727528</xdr:colOff>
      <xdr:row>125</xdr:row>
      <xdr:rowOff>180975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F632274-C3BF-492E-B5DA-735357DFC5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33525" y="21345525"/>
          <a:ext cx="3766003" cy="8763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4</xdr:col>
      <xdr:colOff>0</xdr:colOff>
      <xdr:row>132</xdr:row>
      <xdr:rowOff>57150</xdr:rowOff>
    </xdr:from>
    <xdr:to>
      <xdr:col>8</xdr:col>
      <xdr:colOff>390143</xdr:colOff>
      <xdr:row>134</xdr:row>
      <xdr:rowOff>85674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93DCE7C-D5EC-4E2F-8630-1FE954B7F4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905000" y="23431500"/>
          <a:ext cx="3057143" cy="4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24</xdr:col>
      <xdr:colOff>9048</xdr:colOff>
      <xdr:row>14</xdr:row>
      <xdr:rowOff>174096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AD27FC38-AE01-4CB2-9B61-DCFAB6D2AC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811000" y="2571750"/>
          <a:ext cx="3819048" cy="6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23</xdr:col>
      <xdr:colOff>9143</xdr:colOff>
      <xdr:row>23</xdr:row>
      <xdr:rowOff>47524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BEA954F4-D2E6-4555-BDBC-376D386B5C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811000" y="3905250"/>
          <a:ext cx="3057143" cy="8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24</xdr:col>
      <xdr:colOff>9048</xdr:colOff>
      <xdr:row>30</xdr:row>
      <xdr:rowOff>47524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18940CFD-9C91-4EFF-94B0-305670EFF2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811000" y="5353050"/>
          <a:ext cx="3819048" cy="8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26</xdr:col>
      <xdr:colOff>8857</xdr:colOff>
      <xdr:row>45</xdr:row>
      <xdr:rowOff>56874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86D82B67-58F2-4DFB-9A7F-3DF9CEA3DD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811000" y="6877050"/>
          <a:ext cx="5342857" cy="22000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28</xdr:col>
      <xdr:colOff>8667</xdr:colOff>
      <xdr:row>52</xdr:row>
      <xdr:rowOff>38024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5C405464-3F2B-4D51-B5C6-2D3D38DFC3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811000" y="9782735"/>
          <a:ext cx="6866667" cy="6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27</xdr:col>
      <xdr:colOff>8762</xdr:colOff>
      <xdr:row>67</xdr:row>
      <xdr:rowOff>114024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E5DA7652-CCA5-497B-99CE-7BD9AD5371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811000" y="11116235"/>
          <a:ext cx="6104762" cy="22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27</xdr:col>
      <xdr:colOff>8762</xdr:colOff>
      <xdr:row>82</xdr:row>
      <xdr:rowOff>104500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DE3873E4-2117-481B-A656-2679E7B603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811000" y="13973735"/>
          <a:ext cx="6104762" cy="22000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29</xdr:col>
      <xdr:colOff>8571</xdr:colOff>
      <xdr:row>113</xdr:row>
      <xdr:rowOff>173782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7C89029B-F94A-4203-ADAD-979BDA8C8C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811000" y="17649265"/>
          <a:ext cx="7628571" cy="44000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116</xdr:row>
      <xdr:rowOff>145676</xdr:rowOff>
    </xdr:from>
    <xdr:to>
      <xdr:col>27</xdr:col>
      <xdr:colOff>8762</xdr:colOff>
      <xdr:row>119</xdr:row>
      <xdr:rowOff>183700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4FDA1297-B6F2-47D3-8384-46DA52E810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1811000" y="22647088"/>
          <a:ext cx="6104762" cy="6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122</xdr:row>
      <xdr:rowOff>134470</xdr:rowOff>
    </xdr:from>
    <xdr:to>
      <xdr:col>27</xdr:col>
      <xdr:colOff>8762</xdr:colOff>
      <xdr:row>125</xdr:row>
      <xdr:rowOff>172494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707F8158-2CDD-4CFA-A132-18C9ABA2BC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1811000" y="23778882"/>
          <a:ext cx="6104762" cy="6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1</xdr:colOff>
      <xdr:row>150</xdr:row>
      <xdr:rowOff>162891</xdr:rowOff>
    </xdr:from>
    <xdr:to>
      <xdr:col>27</xdr:col>
      <xdr:colOff>598715</xdr:colOff>
      <xdr:row>155</xdr:row>
      <xdr:rowOff>19915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45E003EA-058F-40A6-8F61-3AE09DAA9E6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2242"/>
        <a:stretch/>
      </xdr:blipFill>
      <xdr:spPr>
        <a:xfrm>
          <a:off x="11811001" y="29377427"/>
          <a:ext cx="6694714" cy="8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18</xdr:col>
      <xdr:colOff>380999</xdr:colOff>
      <xdr:row>129</xdr:row>
      <xdr:rowOff>50515</xdr:rowOff>
    </xdr:from>
    <xdr:to>
      <xdr:col>27</xdr:col>
      <xdr:colOff>8761</xdr:colOff>
      <xdr:row>133</xdr:row>
      <xdr:rowOff>98039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5190DA14-80F3-482E-AECC-E93B79460A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810999" y="25060444"/>
          <a:ext cx="6104762" cy="8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27</xdr:col>
      <xdr:colOff>237333</xdr:colOff>
      <xdr:row>138</xdr:row>
      <xdr:rowOff>28524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ED85F89F-1B7B-4B2B-8351-FAE12F97DF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1811000" y="26452286"/>
          <a:ext cx="6333333" cy="4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25</xdr:col>
      <xdr:colOff>237524</xdr:colOff>
      <xdr:row>175</xdr:row>
      <xdr:rowOff>171024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833C3EC8-46DA-466E-9A78-952E045FC1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1811000" y="29745214"/>
          <a:ext cx="4809524" cy="34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27</xdr:col>
      <xdr:colOff>237333</xdr:colOff>
      <xdr:row>190</xdr:row>
      <xdr:rowOff>104524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DC5469C0-6AB6-4256-B7C3-362CC3E75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11811000" y="33745714"/>
          <a:ext cx="6333333" cy="20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18</xdr:col>
      <xdr:colOff>380999</xdr:colOff>
      <xdr:row>192</xdr:row>
      <xdr:rowOff>0</xdr:rowOff>
    </xdr:from>
    <xdr:to>
      <xdr:col>27</xdr:col>
      <xdr:colOff>244928</xdr:colOff>
      <xdr:row>211</xdr:row>
      <xdr:rowOff>56690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id="{AD039931-F4D2-46E9-9D22-478665CC5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11810999" y="36031714"/>
          <a:ext cx="6340929" cy="367619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25</xdr:col>
      <xdr:colOff>237524</xdr:colOff>
      <xdr:row>147</xdr:row>
      <xdr:rowOff>1309</xdr:rowOff>
    </xdr:to>
    <xdr:pic>
      <xdr:nvPicPr>
        <xdr:cNvPr id="25" name="Image 24">
          <a:extLst>
            <a:ext uri="{FF2B5EF4-FFF2-40B4-BE49-F238E27FC236}">
              <a16:creationId xmlns:a16="http://schemas.microsoft.com/office/drawing/2014/main" id="{47CA7AAB-0EDB-45D2-B98E-23FDBF6E35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11811000" y="28248429"/>
          <a:ext cx="4809524" cy="4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243</xdr:row>
      <xdr:rowOff>0</xdr:rowOff>
    </xdr:from>
    <xdr:to>
      <xdr:col>26</xdr:col>
      <xdr:colOff>94571</xdr:colOff>
      <xdr:row>272</xdr:row>
      <xdr:rowOff>180262</xdr:rowOff>
    </xdr:to>
    <xdr:pic>
      <xdr:nvPicPr>
        <xdr:cNvPr id="27" name="Image 26">
          <a:extLst>
            <a:ext uri="{FF2B5EF4-FFF2-40B4-BE49-F238E27FC236}">
              <a16:creationId xmlns:a16="http://schemas.microsoft.com/office/drawing/2014/main" id="{42D01DD0-9CE2-4F79-BBC0-51512FF975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811000" y="46032964"/>
          <a:ext cx="5428571" cy="5704762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276</xdr:row>
      <xdr:rowOff>0</xdr:rowOff>
    </xdr:from>
    <xdr:to>
      <xdr:col>26</xdr:col>
      <xdr:colOff>180286</xdr:colOff>
      <xdr:row>295</xdr:row>
      <xdr:rowOff>47167</xdr:rowOff>
    </xdr:to>
    <xdr:pic>
      <xdr:nvPicPr>
        <xdr:cNvPr id="29" name="Image 28">
          <a:extLst>
            <a:ext uri="{FF2B5EF4-FFF2-40B4-BE49-F238E27FC236}">
              <a16:creationId xmlns:a16="http://schemas.microsoft.com/office/drawing/2014/main" id="{0E64C1F0-CABB-47E1-B3D7-E87715ED7D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811000" y="52319464"/>
          <a:ext cx="5514286" cy="3666667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1</xdr:colOff>
      <xdr:row>225</xdr:row>
      <xdr:rowOff>1</xdr:rowOff>
    </xdr:from>
    <xdr:to>
      <xdr:col>23</xdr:col>
      <xdr:colOff>449037</xdr:colOff>
      <xdr:row>233</xdr:row>
      <xdr:rowOff>37906</xdr:rowOff>
    </xdr:to>
    <xdr:pic>
      <xdr:nvPicPr>
        <xdr:cNvPr id="31" name="Image 30">
          <a:extLst>
            <a:ext uri="{FF2B5EF4-FFF2-40B4-BE49-F238E27FC236}">
              <a16:creationId xmlns:a16="http://schemas.microsoft.com/office/drawing/2014/main" id="{F3434C88-627B-42FE-8A06-F5675B8D2E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4"/>
        <a:srcRect r="30457"/>
        <a:stretch/>
      </xdr:blipFill>
      <xdr:spPr>
        <a:xfrm>
          <a:off x="11811001" y="42549537"/>
          <a:ext cx="3497036" cy="1561905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298</xdr:row>
      <xdr:rowOff>0</xdr:rowOff>
    </xdr:from>
    <xdr:to>
      <xdr:col>23</xdr:col>
      <xdr:colOff>462643</xdr:colOff>
      <xdr:row>306</xdr:row>
      <xdr:rowOff>37905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208505FC-D70F-4FD2-8141-6C0F4BF4859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5"/>
        <a:srcRect r="30318"/>
        <a:stretch/>
      </xdr:blipFill>
      <xdr:spPr>
        <a:xfrm>
          <a:off x="11811000" y="55503536"/>
          <a:ext cx="3510643" cy="1561905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47</xdr:row>
      <xdr:rowOff>0</xdr:rowOff>
    </xdr:from>
    <xdr:to>
      <xdr:col>8</xdr:col>
      <xdr:colOff>647212</xdr:colOff>
      <xdr:row>58</xdr:row>
      <xdr:rowOff>0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59</xdr:row>
      <xdr:rowOff>0</xdr:rowOff>
    </xdr:from>
    <xdr:to>
      <xdr:col>8</xdr:col>
      <xdr:colOff>647212</xdr:colOff>
      <xdr:row>70</xdr:row>
      <xdr:rowOff>0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1</xdr:row>
      <xdr:rowOff>0</xdr:rowOff>
    </xdr:from>
    <xdr:to>
      <xdr:col>2</xdr:col>
      <xdr:colOff>679779</xdr:colOff>
      <xdr:row>3</xdr:row>
      <xdr:rowOff>24943</xdr:rowOff>
    </xdr:to>
    <xdr:pic>
      <xdr:nvPicPr>
        <xdr:cNvPr id="9" name="Image 5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1441779" cy="562825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0</xdr:rowOff>
    </xdr:from>
    <xdr:to>
      <xdr:col>19</xdr:col>
      <xdr:colOff>370571</xdr:colOff>
      <xdr:row>35</xdr:row>
      <xdr:rowOff>127131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12A4522-86F9-4BA8-8EAC-73B31F734E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620000" y="1129393"/>
          <a:ext cx="7228571" cy="6209524"/>
        </a:xfrm>
        <a:prstGeom prst="rect">
          <a:avLst/>
        </a:prstGeom>
        <a:ln>
          <a:solidFill>
            <a:schemeClr val="accent1"/>
          </a:solidFill>
        </a:ln>
        <a:effectLst>
          <a:glow rad="127000">
            <a:srgbClr val="1464F4">
              <a:alpha val="40000"/>
            </a:srgbClr>
          </a:glow>
        </a:effectLst>
      </xdr:spPr>
    </xdr:pic>
    <xdr:clientData/>
  </xdr:twoCellAnchor>
  <xdr:twoCellAnchor>
    <xdr:from>
      <xdr:col>10</xdr:col>
      <xdr:colOff>134471</xdr:colOff>
      <xdr:row>6</xdr:row>
      <xdr:rowOff>134472</xdr:rowOff>
    </xdr:from>
    <xdr:to>
      <xdr:col>15</xdr:col>
      <xdr:colOff>425824</xdr:colOff>
      <xdr:row>24</xdr:row>
      <xdr:rowOff>156883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FA6E1A68-6453-4850-BEB3-95776F539C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>
        <a:ln w="63500"/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hydraucalc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ydraucalc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DC13A-3BF4-4F04-9A98-FED67E963E05}">
  <sheetPr codeName="Feuil1"/>
  <dimension ref="B2:AD297"/>
  <sheetViews>
    <sheetView zoomScale="70" zoomScaleNormal="70" workbookViewId="0"/>
  </sheetViews>
  <sheetFormatPr baseColWidth="10" defaultColWidth="11.42578125" defaultRowHeight="15" x14ac:dyDescent="0.25"/>
  <cols>
    <col min="2" max="5" width="5.7109375" customWidth="1"/>
    <col min="17" max="19" width="5.7109375" customWidth="1"/>
  </cols>
  <sheetData>
    <row r="2" spans="2:25" s="3" customFormat="1" ht="21" x14ac:dyDescent="0.35">
      <c r="C2" s="4"/>
      <c r="G2" s="15" t="s">
        <v>21</v>
      </c>
    </row>
    <row r="3" spans="2:25" ht="21" x14ac:dyDescent="0.35">
      <c r="G3" s="15" t="s">
        <v>164</v>
      </c>
    </row>
    <row r="4" spans="2:25" x14ac:dyDescent="0.25">
      <c r="B4" s="61" t="s">
        <v>186</v>
      </c>
    </row>
    <row r="5" spans="2:25" x14ac:dyDescent="0.25">
      <c r="B5" s="16" t="s">
        <v>73</v>
      </c>
      <c r="L5" s="2"/>
    </row>
    <row r="6" spans="2:25" x14ac:dyDescent="0.25">
      <c r="B6" s="16"/>
      <c r="L6" s="2"/>
    </row>
    <row r="7" spans="2:25" ht="18.75" x14ac:dyDescent="0.3">
      <c r="B7" s="81" t="s">
        <v>314</v>
      </c>
      <c r="F7" s="82" t="s">
        <v>293</v>
      </c>
      <c r="L7" s="2"/>
      <c r="Q7" s="62" t="s">
        <v>255</v>
      </c>
    </row>
    <row r="8" spans="2:25" ht="19.5" thickBot="1" x14ac:dyDescent="0.35">
      <c r="B8" s="16"/>
      <c r="G8" s="82" t="s">
        <v>294</v>
      </c>
      <c r="L8" s="2"/>
    </row>
    <row r="9" spans="2:25" ht="15" customHeight="1" thickBot="1" x14ac:dyDescent="0.35">
      <c r="B9" s="16"/>
      <c r="F9" s="82"/>
      <c r="L9" s="2"/>
      <c r="R9" s="63" t="s">
        <v>256</v>
      </c>
      <c r="Y9" s="19"/>
    </row>
    <row r="10" spans="2:25" ht="18.75" x14ac:dyDescent="0.3">
      <c r="B10" s="16"/>
      <c r="F10" s="83" t="s">
        <v>315</v>
      </c>
      <c r="L10" s="2"/>
    </row>
    <row r="11" spans="2:25" ht="18.75" x14ac:dyDescent="0.3">
      <c r="B11" s="16"/>
      <c r="F11" s="83" t="s">
        <v>316</v>
      </c>
      <c r="L11" s="2"/>
      <c r="S11" s="50" t="s">
        <v>257</v>
      </c>
    </row>
    <row r="12" spans="2:25" ht="18.75" x14ac:dyDescent="0.3">
      <c r="B12" s="16"/>
      <c r="F12" s="17"/>
      <c r="G12" s="82" t="s">
        <v>317</v>
      </c>
      <c r="L12" s="2"/>
    </row>
    <row r="13" spans="2:25" ht="18.75" x14ac:dyDescent="0.3">
      <c r="B13" s="16"/>
      <c r="F13" s="82"/>
      <c r="L13" s="2"/>
    </row>
    <row r="16" spans="2:25" x14ac:dyDescent="0.25">
      <c r="V16" s="54"/>
    </row>
    <row r="18" spans="19:27" x14ac:dyDescent="0.25">
      <c r="S18" s="50" t="s">
        <v>295</v>
      </c>
    </row>
    <row r="23" spans="19:27" x14ac:dyDescent="0.25">
      <c r="AA23" s="37"/>
    </row>
    <row r="25" spans="19:27" x14ac:dyDescent="0.25">
      <c r="S25" s="50" t="s">
        <v>258</v>
      </c>
    </row>
    <row r="33" spans="2:19" x14ac:dyDescent="0.25">
      <c r="S33" s="50" t="s">
        <v>259</v>
      </c>
    </row>
    <row r="44" spans="2:19" ht="18.75" x14ac:dyDescent="0.3">
      <c r="B44" s="62" t="s">
        <v>195</v>
      </c>
    </row>
    <row r="46" spans="2:19" x14ac:dyDescent="0.25">
      <c r="C46" t="s">
        <v>196</v>
      </c>
    </row>
    <row r="48" spans="2:19" x14ac:dyDescent="0.25">
      <c r="D48" t="s">
        <v>201</v>
      </c>
      <c r="S48" s="50" t="s">
        <v>260</v>
      </c>
    </row>
    <row r="49" spans="4:19" x14ac:dyDescent="0.25">
      <c r="E49" t="s">
        <v>202</v>
      </c>
    </row>
    <row r="50" spans="4:19" x14ac:dyDescent="0.25">
      <c r="E50" t="s">
        <v>203</v>
      </c>
    </row>
    <row r="51" spans="4:19" x14ac:dyDescent="0.25">
      <c r="E51" t="s">
        <v>204</v>
      </c>
    </row>
    <row r="52" spans="4:19" x14ac:dyDescent="0.25">
      <c r="E52" t="s">
        <v>205</v>
      </c>
    </row>
    <row r="54" spans="4:19" x14ac:dyDescent="0.25">
      <c r="D54" t="s">
        <v>206</v>
      </c>
    </row>
    <row r="55" spans="4:19" x14ac:dyDescent="0.25">
      <c r="E55" t="s">
        <v>207</v>
      </c>
      <c r="S55" s="50" t="s">
        <v>262</v>
      </c>
    </row>
    <row r="56" spans="4:19" x14ac:dyDescent="0.25">
      <c r="E56" t="s">
        <v>208</v>
      </c>
    </row>
    <row r="57" spans="4:19" x14ac:dyDescent="0.25">
      <c r="E57" t="s">
        <v>209</v>
      </c>
    </row>
    <row r="58" spans="4:19" x14ac:dyDescent="0.25">
      <c r="E58" t="s">
        <v>210</v>
      </c>
    </row>
    <row r="60" spans="4:19" x14ac:dyDescent="0.25">
      <c r="D60" t="s">
        <v>211</v>
      </c>
    </row>
    <row r="61" spans="4:19" x14ac:dyDescent="0.25">
      <c r="E61" t="s">
        <v>212</v>
      </c>
    </row>
    <row r="62" spans="4:19" x14ac:dyDescent="0.25">
      <c r="E62" t="s">
        <v>213</v>
      </c>
    </row>
    <row r="64" spans="4:19" x14ac:dyDescent="0.25">
      <c r="D64" t="s">
        <v>214</v>
      </c>
    </row>
    <row r="65" spans="4:19" x14ac:dyDescent="0.25">
      <c r="E65" t="s">
        <v>212</v>
      </c>
    </row>
    <row r="66" spans="4:19" x14ac:dyDescent="0.25">
      <c r="E66" t="s">
        <v>215</v>
      </c>
    </row>
    <row r="68" spans="4:19" x14ac:dyDescent="0.25">
      <c r="D68" t="s">
        <v>216</v>
      </c>
    </row>
    <row r="69" spans="4:19" x14ac:dyDescent="0.25">
      <c r="E69" t="s">
        <v>212</v>
      </c>
    </row>
    <row r="70" spans="4:19" x14ac:dyDescent="0.25">
      <c r="E70" t="s">
        <v>217</v>
      </c>
      <c r="S70" s="50" t="s">
        <v>261</v>
      </c>
    </row>
    <row r="71" spans="4:19" x14ac:dyDescent="0.25">
      <c r="E71" t="s">
        <v>218</v>
      </c>
    </row>
    <row r="73" spans="4:19" x14ac:dyDescent="0.25">
      <c r="D73" t="s">
        <v>219</v>
      </c>
    </row>
    <row r="74" spans="4:19" x14ac:dyDescent="0.25">
      <c r="E74" t="s">
        <v>212</v>
      </c>
    </row>
    <row r="75" spans="4:19" x14ac:dyDescent="0.25">
      <c r="E75" t="s">
        <v>220</v>
      </c>
    </row>
    <row r="76" spans="4:19" x14ac:dyDescent="0.25">
      <c r="E76" t="s">
        <v>221</v>
      </c>
    </row>
    <row r="77" spans="4:19" x14ac:dyDescent="0.25">
      <c r="E77" t="s">
        <v>222</v>
      </c>
    </row>
    <row r="79" spans="4:19" x14ac:dyDescent="0.25">
      <c r="D79" t="s">
        <v>223</v>
      </c>
    </row>
    <row r="80" spans="4:19" x14ac:dyDescent="0.25">
      <c r="E80" t="s">
        <v>212</v>
      </c>
    </row>
    <row r="81" spans="3:30" x14ac:dyDescent="0.25">
      <c r="E81" t="s">
        <v>224</v>
      </c>
    </row>
    <row r="82" spans="3:30" x14ac:dyDescent="0.25">
      <c r="E82" t="s">
        <v>225</v>
      </c>
    </row>
    <row r="84" spans="3:30" x14ac:dyDescent="0.25">
      <c r="D84" t="s">
        <v>226</v>
      </c>
      <c r="T84" t="s">
        <v>290</v>
      </c>
    </row>
    <row r="85" spans="3:30" x14ac:dyDescent="0.25">
      <c r="E85" t="s">
        <v>227</v>
      </c>
    </row>
    <row r="86" spans="3:30" ht="15.75" thickBot="1" x14ac:dyDescent="0.3">
      <c r="E86" t="s">
        <v>228</v>
      </c>
    </row>
    <row r="87" spans="3:30" ht="16.5" thickBot="1" x14ac:dyDescent="0.3">
      <c r="E87" t="s">
        <v>229</v>
      </c>
      <c r="R87" s="63" t="s">
        <v>263</v>
      </c>
      <c r="AD87" s="22"/>
    </row>
    <row r="88" spans="3:30" x14ac:dyDescent="0.25">
      <c r="E88" t="s">
        <v>230</v>
      </c>
      <c r="S88" t="s">
        <v>264</v>
      </c>
    </row>
    <row r="89" spans="3:30" x14ac:dyDescent="0.25">
      <c r="E89" t="s">
        <v>231</v>
      </c>
    </row>
    <row r="90" spans="3:30" x14ac:dyDescent="0.25">
      <c r="S90" s="50" t="s">
        <v>265</v>
      </c>
    </row>
    <row r="92" spans="3:30" x14ac:dyDescent="0.25">
      <c r="C92" t="s">
        <v>197</v>
      </c>
    </row>
    <row r="94" spans="3:30" x14ac:dyDescent="0.25">
      <c r="D94" t="s">
        <v>198</v>
      </c>
    </row>
    <row r="95" spans="3:30" x14ac:dyDescent="0.25">
      <c r="D95" t="s">
        <v>251</v>
      </c>
    </row>
    <row r="96" spans="3:30" x14ac:dyDescent="0.25">
      <c r="D96" t="s">
        <v>199</v>
      </c>
    </row>
    <row r="97" spans="2:4" x14ac:dyDescent="0.25">
      <c r="D97" t="s">
        <v>200</v>
      </c>
    </row>
    <row r="98" spans="2:4" x14ac:dyDescent="0.25">
      <c r="D98" t="s">
        <v>247</v>
      </c>
    </row>
    <row r="99" spans="2:4" x14ac:dyDescent="0.25">
      <c r="D99" t="s">
        <v>248</v>
      </c>
    </row>
    <row r="102" spans="2:4" ht="18.75" x14ac:dyDescent="0.3">
      <c r="B102" s="62" t="s">
        <v>232</v>
      </c>
    </row>
    <row r="104" spans="2:4" x14ac:dyDescent="0.25">
      <c r="C104" t="s">
        <v>254</v>
      </c>
    </row>
    <row r="105" spans="2:4" x14ac:dyDescent="0.25">
      <c r="D105" t="s">
        <v>249</v>
      </c>
    </row>
    <row r="107" spans="2:4" x14ac:dyDescent="0.25">
      <c r="C107" t="s">
        <v>250</v>
      </c>
    </row>
    <row r="108" spans="2:4" x14ac:dyDescent="0.25">
      <c r="D108" t="s">
        <v>299</v>
      </c>
    </row>
    <row r="110" spans="2:4" x14ac:dyDescent="0.25">
      <c r="C110" t="s">
        <v>253</v>
      </c>
    </row>
    <row r="112" spans="2:4" x14ac:dyDescent="0.25">
      <c r="C112" t="s">
        <v>252</v>
      </c>
    </row>
    <row r="115" spans="2:19" ht="18.75" x14ac:dyDescent="0.3">
      <c r="B115" s="62" t="s">
        <v>233</v>
      </c>
    </row>
    <row r="116" spans="2:19" x14ac:dyDescent="0.25">
      <c r="S116" s="50" t="s">
        <v>270</v>
      </c>
    </row>
    <row r="117" spans="2:19" x14ac:dyDescent="0.25">
      <c r="C117" t="s">
        <v>234</v>
      </c>
    </row>
    <row r="118" spans="2:19" x14ac:dyDescent="0.25">
      <c r="D118" t="s">
        <v>235</v>
      </c>
    </row>
    <row r="119" spans="2:19" x14ac:dyDescent="0.25">
      <c r="D119" t="s">
        <v>236</v>
      </c>
    </row>
    <row r="120" spans="2:19" x14ac:dyDescent="0.25">
      <c r="D120" t="s">
        <v>237</v>
      </c>
    </row>
    <row r="121" spans="2:19" x14ac:dyDescent="0.25">
      <c r="D121" t="s">
        <v>238</v>
      </c>
    </row>
    <row r="122" spans="2:19" x14ac:dyDescent="0.25">
      <c r="S122" s="50" t="s">
        <v>271</v>
      </c>
    </row>
    <row r="128" spans="2:19" x14ac:dyDescent="0.25">
      <c r="C128" t="s">
        <v>239</v>
      </c>
      <c r="S128" s="50" t="s">
        <v>273</v>
      </c>
    </row>
    <row r="129" spans="2:28" x14ac:dyDescent="0.25">
      <c r="D129" t="s">
        <v>240</v>
      </c>
    </row>
    <row r="130" spans="2:28" x14ac:dyDescent="0.25">
      <c r="E130" t="s">
        <v>241</v>
      </c>
    </row>
    <row r="131" spans="2:28" x14ac:dyDescent="0.25">
      <c r="F131" t="s">
        <v>242</v>
      </c>
    </row>
    <row r="132" spans="2:28" x14ac:dyDescent="0.25">
      <c r="F132" t="s">
        <v>243</v>
      </c>
    </row>
    <row r="135" spans="2:28" x14ac:dyDescent="0.25">
      <c r="S135" s="50" t="s">
        <v>275</v>
      </c>
    </row>
    <row r="136" spans="2:28" x14ac:dyDescent="0.25">
      <c r="E136" t="s">
        <v>244</v>
      </c>
    </row>
    <row r="137" spans="2:28" x14ac:dyDescent="0.25">
      <c r="F137" t="s">
        <v>245</v>
      </c>
    </row>
    <row r="140" spans="2:28" ht="19.5" thickBot="1" x14ac:dyDescent="0.35">
      <c r="B140" s="62" t="s">
        <v>246</v>
      </c>
    </row>
    <row r="141" spans="2:28" ht="16.5" thickBot="1" x14ac:dyDescent="0.3">
      <c r="R141" s="63" t="s">
        <v>272</v>
      </c>
      <c r="AB141" s="21"/>
    </row>
    <row r="142" spans="2:28" ht="16.5" thickTop="1" thickBot="1" x14ac:dyDescent="0.3">
      <c r="F142" s="87" t="s">
        <v>72</v>
      </c>
      <c r="G142" s="88"/>
      <c r="H142" s="88"/>
      <c r="I142" s="89"/>
      <c r="S142" t="s">
        <v>264</v>
      </c>
    </row>
    <row r="143" spans="2:28" ht="16.5" thickTop="1" thickBot="1" x14ac:dyDescent="0.3">
      <c r="F143" s="64" t="s">
        <v>16</v>
      </c>
      <c r="G143" s="65" t="s">
        <v>20</v>
      </c>
      <c r="H143" s="74" t="s">
        <v>280</v>
      </c>
      <c r="I143" s="66" t="s">
        <v>19</v>
      </c>
    </row>
    <row r="144" spans="2:28" ht="15.75" thickTop="1" x14ac:dyDescent="0.25">
      <c r="F144" s="67" t="s">
        <v>26</v>
      </c>
      <c r="G144" s="68">
        <v>9.0927000000000007</v>
      </c>
      <c r="H144" s="75">
        <f>K_J4</f>
        <v>9.0108910548900312</v>
      </c>
      <c r="I144" s="69">
        <f t="shared" ref="I144:I145" si="0">(G144-H144)/G144</f>
        <v>8.997211511428892E-3</v>
      </c>
      <c r="S144" s="50" t="s">
        <v>282</v>
      </c>
    </row>
    <row r="145" spans="6:19" ht="15.75" thickBot="1" x14ac:dyDescent="0.3">
      <c r="F145" s="70" t="s">
        <v>27</v>
      </c>
      <c r="G145" s="71">
        <v>6.1586999999999996</v>
      </c>
      <c r="H145" s="72">
        <f>K_J7</f>
        <v>6.0782856423035572</v>
      </c>
      <c r="I145" s="73">
        <f t="shared" si="0"/>
        <v>1.3057034389796947E-2</v>
      </c>
    </row>
    <row r="146" spans="6:19" ht="16.5" thickTop="1" thickBot="1" x14ac:dyDescent="0.3"/>
    <row r="147" spans="6:19" ht="16.5" thickTop="1" thickBot="1" x14ac:dyDescent="0.3">
      <c r="F147" s="84" t="s">
        <v>279</v>
      </c>
      <c r="G147" s="85"/>
      <c r="H147" s="86"/>
    </row>
    <row r="148" spans="6:19" ht="16.5" thickTop="1" thickBot="1" x14ac:dyDescent="0.3">
      <c r="F148" s="76" t="s">
        <v>20</v>
      </c>
      <c r="G148" s="74" t="s">
        <v>280</v>
      </c>
      <c r="H148" s="77" t="s">
        <v>19</v>
      </c>
    </row>
    <row r="149" spans="6:19" ht="16.5" thickTop="1" thickBot="1" x14ac:dyDescent="0.3">
      <c r="F149" s="78">
        <v>55</v>
      </c>
      <c r="G149" s="79">
        <f>H_J2</f>
        <v>54.99658203125</v>
      </c>
      <c r="H149" s="80">
        <f>(G149-F149)/F149</f>
        <v>-6.2144886363636357E-5</v>
      </c>
    </row>
    <row r="150" spans="6:19" ht="15.75" thickTop="1" x14ac:dyDescent="0.25">
      <c r="S150" s="50" t="s">
        <v>281</v>
      </c>
    </row>
    <row r="157" spans="6:19" x14ac:dyDescent="0.25">
      <c r="S157" s="50" t="s">
        <v>274</v>
      </c>
    </row>
    <row r="178" spans="19:20" x14ac:dyDescent="0.25">
      <c r="S178" s="17" t="s">
        <v>277</v>
      </c>
    </row>
    <row r="179" spans="19:20" x14ac:dyDescent="0.25">
      <c r="T179" t="s">
        <v>278</v>
      </c>
    </row>
    <row r="214" spans="18:20" ht="15.75" x14ac:dyDescent="0.25">
      <c r="R214" s="63" t="s">
        <v>283</v>
      </c>
    </row>
    <row r="216" spans="18:20" x14ac:dyDescent="0.25">
      <c r="S216" t="s">
        <v>284</v>
      </c>
    </row>
    <row r="217" spans="18:20" x14ac:dyDescent="0.25">
      <c r="T217" t="s">
        <v>288</v>
      </c>
    </row>
    <row r="219" spans="18:20" x14ac:dyDescent="0.25">
      <c r="S219" t="s">
        <v>303</v>
      </c>
    </row>
    <row r="220" spans="18:20" x14ac:dyDescent="0.25">
      <c r="T220" t="s">
        <v>300</v>
      </c>
    </row>
    <row r="221" spans="18:20" x14ac:dyDescent="0.25">
      <c r="T221" t="s">
        <v>301</v>
      </c>
    </row>
    <row r="222" spans="18:20" x14ac:dyDescent="0.25">
      <c r="T222" t="s">
        <v>302</v>
      </c>
    </row>
    <row r="224" spans="18:20" x14ac:dyDescent="0.25">
      <c r="S224" t="s">
        <v>297</v>
      </c>
    </row>
    <row r="235" spans="19:24" x14ac:dyDescent="0.25">
      <c r="T235" t="s">
        <v>292</v>
      </c>
    </row>
    <row r="236" spans="19:24" ht="15.75" thickBot="1" x14ac:dyDescent="0.3"/>
    <row r="237" spans="19:24" ht="15.75" thickBot="1" x14ac:dyDescent="0.3">
      <c r="T237" s="45" t="s">
        <v>28</v>
      </c>
      <c r="U237" s="49">
        <v>0.1</v>
      </c>
      <c r="V237" s="49">
        <v>1</v>
      </c>
      <c r="W237" s="49">
        <v>10</v>
      </c>
      <c r="X237" s="49">
        <v>20</v>
      </c>
    </row>
    <row r="238" spans="19:24" ht="15.75" thickBot="1" x14ac:dyDescent="0.3">
      <c r="T238" s="45" t="s">
        <v>29</v>
      </c>
      <c r="U238" s="49">
        <v>0.1</v>
      </c>
      <c r="V238" s="49">
        <v>1</v>
      </c>
      <c r="W238" s="49">
        <v>10</v>
      </c>
      <c r="X238" s="49">
        <v>20</v>
      </c>
    </row>
    <row r="240" spans="19:24" x14ac:dyDescent="0.25">
      <c r="S240" t="s">
        <v>285</v>
      </c>
    </row>
    <row r="241" spans="20:20" x14ac:dyDescent="0.25">
      <c r="T241" t="s">
        <v>298</v>
      </c>
    </row>
    <row r="242" spans="20:20" x14ac:dyDescent="0.25">
      <c r="T242" t="s">
        <v>289</v>
      </c>
    </row>
    <row r="275" spans="19:19" x14ac:dyDescent="0.25">
      <c r="S275" t="s">
        <v>286</v>
      </c>
    </row>
    <row r="297" spans="19:19" x14ac:dyDescent="0.25">
      <c r="S297" t="s">
        <v>287</v>
      </c>
    </row>
  </sheetData>
  <mergeCells count="2">
    <mergeCell ref="F147:H147"/>
    <mergeCell ref="F142:I142"/>
  </mergeCells>
  <hyperlinks>
    <hyperlink ref="B5" r:id="rId1" xr:uid="{5D44585F-2DD9-45FE-8C5C-D199FE3D9810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7600D-0081-41CE-9DEA-AD37A3E0C448}">
  <sheetPr codeName="Feuil2">
    <pageSetUpPr fitToPage="1"/>
  </sheetPr>
  <dimension ref="A2:Z77"/>
  <sheetViews>
    <sheetView showGridLines="0" tabSelected="1" zoomScale="70" zoomScaleNormal="70" workbookViewId="0"/>
  </sheetViews>
  <sheetFormatPr baseColWidth="10" defaultColWidth="11.42578125" defaultRowHeight="15" x14ac:dyDescent="0.25"/>
  <cols>
    <col min="1" max="1" width="4.7109375" customWidth="1"/>
    <col min="5" max="5" width="11.42578125" customWidth="1"/>
    <col min="12" max="12" width="11.42578125" customWidth="1"/>
    <col min="23" max="23" width="14.85546875" bestFit="1" customWidth="1"/>
    <col min="25" max="25" width="11.42578125" customWidth="1"/>
  </cols>
  <sheetData>
    <row r="2" spans="1:25" s="3" customFormat="1" ht="21" x14ac:dyDescent="0.35">
      <c r="C2" s="4"/>
      <c r="E2" s="15" t="s">
        <v>21</v>
      </c>
    </row>
    <row r="3" spans="1:25" ht="21" x14ac:dyDescent="0.35">
      <c r="E3" s="15" t="s">
        <v>164</v>
      </c>
    </row>
    <row r="4" spans="1:25" x14ac:dyDescent="0.25">
      <c r="B4" s="61" t="s">
        <v>186</v>
      </c>
      <c r="U4" s="42" t="s">
        <v>18</v>
      </c>
      <c r="V4" s="43"/>
      <c r="W4" s="43"/>
      <c r="X4" s="43"/>
    </row>
    <row r="5" spans="1:25" ht="15.75" thickBot="1" x14ac:dyDescent="0.3">
      <c r="B5" s="16" t="s">
        <v>73</v>
      </c>
      <c r="L5" s="2"/>
      <c r="U5" s="44" t="s">
        <v>122</v>
      </c>
      <c r="V5" s="43"/>
      <c r="W5" s="43"/>
      <c r="X5" s="43"/>
    </row>
    <row r="6" spans="1:25" ht="15.75" thickBot="1" x14ac:dyDescent="0.3">
      <c r="U6" s="53" t="s">
        <v>26</v>
      </c>
      <c r="V6" s="45" t="s">
        <v>28</v>
      </c>
      <c r="W6" s="49">
        <v>9.0108910548900312</v>
      </c>
      <c r="X6" s="47"/>
    </row>
    <row r="7" spans="1:25" ht="15.75" thickBot="1" x14ac:dyDescent="0.3">
      <c r="B7" s="17" t="s">
        <v>74</v>
      </c>
      <c r="U7" s="53" t="s">
        <v>27</v>
      </c>
      <c r="V7" s="45" t="s">
        <v>29</v>
      </c>
      <c r="W7" s="49">
        <v>6.0782856423035572</v>
      </c>
      <c r="X7" s="47"/>
    </row>
    <row r="8" spans="1:25" ht="15.75" thickBot="1" x14ac:dyDescent="0.3">
      <c r="A8" s="1"/>
      <c r="B8" s="18" t="s">
        <v>7</v>
      </c>
      <c r="D8" s="19"/>
      <c r="U8" s="44" t="s">
        <v>123</v>
      </c>
      <c r="V8" s="43"/>
      <c r="W8" s="43"/>
      <c r="X8" s="43"/>
    </row>
    <row r="9" spans="1:25" ht="15.75" thickBot="1" x14ac:dyDescent="0.3">
      <c r="A9" s="1"/>
      <c r="B9" s="20" t="s">
        <v>9</v>
      </c>
      <c r="D9" s="21"/>
      <c r="U9" s="58" t="s">
        <v>190</v>
      </c>
      <c r="V9" s="43"/>
      <c r="W9" s="48">
        <f xml:space="preserve"> P_J9 - P_n11</f>
        <v>1.953125E-3</v>
      </c>
      <c r="X9" s="47" t="s">
        <v>5</v>
      </c>
      <c r="Y9" s="36" t="s">
        <v>267</v>
      </c>
    </row>
    <row r="10" spans="1:25" ht="15.75" thickBot="1" x14ac:dyDescent="0.3">
      <c r="A10" s="1"/>
      <c r="B10" s="20" t="s">
        <v>8</v>
      </c>
      <c r="D10" s="22"/>
      <c r="U10" s="58" t="s">
        <v>191</v>
      </c>
      <c r="V10" s="43"/>
      <c r="W10" s="48">
        <f xml:space="preserve"> P_J9 - P_n16</f>
        <v>0</v>
      </c>
      <c r="X10" s="47" t="s">
        <v>5</v>
      </c>
      <c r="Y10" s="36" t="s">
        <v>268</v>
      </c>
    </row>
    <row r="11" spans="1:25" x14ac:dyDescent="0.25">
      <c r="B11" s="5" t="s">
        <v>12</v>
      </c>
    </row>
    <row r="12" spans="1:25" ht="15.75" thickBot="1" x14ac:dyDescent="0.3">
      <c r="B12" s="23" t="s">
        <v>75</v>
      </c>
      <c r="U12" s="17" t="s">
        <v>125</v>
      </c>
    </row>
    <row r="13" spans="1:25" ht="15.75" thickBot="1" x14ac:dyDescent="0.3">
      <c r="B13" s="36" t="s">
        <v>165</v>
      </c>
      <c r="U13" s="28" t="s">
        <v>63</v>
      </c>
      <c r="V13" s="24" t="s">
        <v>50</v>
      </c>
      <c r="W13" s="46">
        <f xml:space="preserve"> Q_J7 + Q_J4</f>
        <v>1.3888888888888888E-2</v>
      </c>
      <c r="X13" s="23" t="s">
        <v>0</v>
      </c>
      <c r="Y13" s="36" t="s">
        <v>124</v>
      </c>
    </row>
    <row r="14" spans="1:25" x14ac:dyDescent="0.25">
      <c r="B14" s="23"/>
    </row>
    <row r="15" spans="1:25" ht="15.75" thickBot="1" x14ac:dyDescent="0.3">
      <c r="B15" s="17" t="s">
        <v>13</v>
      </c>
      <c r="U15" s="50" t="s">
        <v>132</v>
      </c>
    </row>
    <row r="16" spans="1:25" ht="15.75" thickBot="1" x14ac:dyDescent="0.3">
      <c r="B16" s="18" t="s">
        <v>6</v>
      </c>
      <c r="D16" s="24" t="s">
        <v>14</v>
      </c>
      <c r="E16" s="19">
        <v>1</v>
      </c>
      <c r="F16" s="2"/>
      <c r="U16" s="28" t="s">
        <v>133</v>
      </c>
      <c r="V16" s="24" t="str">
        <f>"P_"&amp;U16</f>
        <v>P_n1</v>
      </c>
      <c r="W16" s="51">
        <f xml:space="preserve"> P_J1</f>
        <v>84682.15234375</v>
      </c>
      <c r="X16" s="23" t="s">
        <v>5</v>
      </c>
      <c r="Y16" s="36" t="s">
        <v>61</v>
      </c>
    </row>
    <row r="17" spans="2:26" ht="15.75" thickBot="1" x14ac:dyDescent="0.3">
      <c r="B17" s="2"/>
      <c r="C17" s="2"/>
      <c r="D17" s="2"/>
      <c r="E17" s="2"/>
      <c r="F17" s="2"/>
      <c r="U17" s="55" t="s">
        <v>134</v>
      </c>
      <c r="V17" s="24" t="str">
        <f t="shared" ref="V17:V24" si="0">"P_"&amp;U17</f>
        <v>P_n2</v>
      </c>
      <c r="W17" s="51">
        <f xml:space="preserve"> P_n1 - dP_P1</f>
        <v>37896.56640625</v>
      </c>
      <c r="X17" s="23" t="s">
        <v>5</v>
      </c>
      <c r="Y17" s="36" t="s">
        <v>149</v>
      </c>
    </row>
    <row r="18" spans="2:26" ht="15.75" thickBot="1" x14ac:dyDescent="0.3">
      <c r="B18" s="17" t="s">
        <v>76</v>
      </c>
      <c r="U18" s="55" t="s">
        <v>135</v>
      </c>
      <c r="V18" s="24" t="str">
        <f t="shared" si="0"/>
        <v>P_n3</v>
      </c>
      <c r="W18" s="51">
        <f xml:space="preserve"> P_n2 + P_J2</f>
        <v>576208.69140625</v>
      </c>
      <c r="X18" s="23" t="s">
        <v>5</v>
      </c>
      <c r="Y18" s="36" t="s">
        <v>150</v>
      </c>
    </row>
    <row r="19" spans="2:26" ht="15.75" thickBot="1" x14ac:dyDescent="0.3">
      <c r="B19" s="18" t="s">
        <v>1</v>
      </c>
      <c r="C19" s="25"/>
      <c r="D19" s="24" t="s">
        <v>10</v>
      </c>
      <c r="E19" s="19">
        <v>998.10860000000002</v>
      </c>
      <c r="F19" s="23" t="s">
        <v>2</v>
      </c>
      <c r="U19" s="55" t="s">
        <v>136</v>
      </c>
      <c r="V19" s="24" t="str">
        <f t="shared" si="0"/>
        <v>P_n4</v>
      </c>
      <c r="W19" s="51">
        <f xml:space="preserve"> P_n3 - dP_P2</f>
        <v>459244.72265625</v>
      </c>
      <c r="X19" s="23" t="s">
        <v>5</v>
      </c>
      <c r="Y19" s="36" t="s">
        <v>151</v>
      </c>
    </row>
    <row r="20" spans="2:26" ht="15.75" thickBot="1" x14ac:dyDescent="0.3">
      <c r="B20" s="18" t="s">
        <v>3</v>
      </c>
      <c r="C20" s="26"/>
      <c r="D20" s="27" t="s">
        <v>11</v>
      </c>
      <c r="E20" s="31">
        <v>9.8019999999999995E-7</v>
      </c>
      <c r="F20" s="23" t="s">
        <v>4</v>
      </c>
      <c r="U20" s="55" t="s">
        <v>137</v>
      </c>
      <c r="V20" s="24" t="str">
        <f t="shared" si="0"/>
        <v>P_n5</v>
      </c>
      <c r="W20" s="51">
        <f xml:space="preserve"> P_n4 - dP_P6</f>
        <v>447076.44140625</v>
      </c>
      <c r="X20" s="23" t="s">
        <v>5</v>
      </c>
      <c r="Y20" s="36" t="s">
        <v>152</v>
      </c>
      <c r="Z20" s="14"/>
    </row>
    <row r="21" spans="2:26" ht="15.75" thickBot="1" x14ac:dyDescent="0.3">
      <c r="U21" s="55" t="s">
        <v>138</v>
      </c>
      <c r="V21" s="24" t="str">
        <f t="shared" si="0"/>
        <v>P_n6</v>
      </c>
      <c r="W21" s="51">
        <f xml:space="preserve"> P_n5 - dP_J6</f>
        <v>444183.5234375</v>
      </c>
      <c r="X21" s="23" t="s">
        <v>5</v>
      </c>
      <c r="Y21" s="36" t="s">
        <v>153</v>
      </c>
    </row>
    <row r="22" spans="2:26" ht="15.75" thickBot="1" x14ac:dyDescent="0.3">
      <c r="B22" s="17" t="s">
        <v>296</v>
      </c>
      <c r="U22" s="55" t="s">
        <v>139</v>
      </c>
      <c r="V22" s="24" t="str">
        <f t="shared" si="0"/>
        <v>P_n7</v>
      </c>
      <c r="W22" s="51">
        <f xml:space="preserve"> P_n6 - dP_P7</f>
        <v>403622.58984375</v>
      </c>
      <c r="X22" s="23" t="s">
        <v>5</v>
      </c>
      <c r="Y22" s="36" t="s">
        <v>154</v>
      </c>
    </row>
    <row r="23" spans="2:26" ht="15.75" thickBot="1" x14ac:dyDescent="0.3">
      <c r="B23" s="28" t="s">
        <v>16</v>
      </c>
      <c r="C23" s="90"/>
      <c r="D23" s="90"/>
      <c r="F23" s="14"/>
      <c r="U23" s="55" t="s">
        <v>140</v>
      </c>
      <c r="V23" s="24" t="str">
        <f t="shared" si="0"/>
        <v>P_n8</v>
      </c>
      <c r="W23" s="51">
        <f xml:space="preserve"> P_n7 - dP_J7</f>
        <v>372405.888671875</v>
      </c>
      <c r="X23" s="23" t="s">
        <v>5</v>
      </c>
      <c r="Y23" s="36" t="s">
        <v>155</v>
      </c>
    </row>
    <row r="24" spans="2:26" ht="15.75" thickBot="1" x14ac:dyDescent="0.3">
      <c r="B24" s="28" t="s">
        <v>26</v>
      </c>
      <c r="C24" s="24" t="s">
        <v>30</v>
      </c>
      <c r="D24" s="29">
        <f t="shared" ref="D24:D25" si="1">25/3600</f>
        <v>6.9444444444444441E-3</v>
      </c>
      <c r="E24" s="23" t="s">
        <v>0</v>
      </c>
      <c r="F24" s="14"/>
      <c r="U24" s="55" t="s">
        <v>141</v>
      </c>
      <c r="V24" s="24" t="str">
        <f t="shared" si="0"/>
        <v>P_n9</v>
      </c>
      <c r="W24" s="51">
        <f xml:space="preserve"> P_n8 - dP_P8</f>
        <v>360237.607421875</v>
      </c>
      <c r="X24" s="23" t="s">
        <v>5</v>
      </c>
      <c r="Y24" s="36" t="s">
        <v>156</v>
      </c>
    </row>
    <row r="25" spans="2:26" ht="15.75" thickBot="1" x14ac:dyDescent="0.3">
      <c r="B25" s="28" t="s">
        <v>27</v>
      </c>
      <c r="C25" s="24" t="s">
        <v>31</v>
      </c>
      <c r="D25" s="29">
        <f t="shared" si="1"/>
        <v>6.9444444444444441E-3</v>
      </c>
      <c r="E25" s="23" t="s">
        <v>0</v>
      </c>
      <c r="U25" s="55" t="s">
        <v>142</v>
      </c>
      <c r="V25" s="24" t="str">
        <f t="shared" ref="V25:V31" si="2">"P_"&amp;U25</f>
        <v>P_n10</v>
      </c>
      <c r="W25" s="51">
        <f xml:space="preserve"> P_n9 - dP_J8</f>
        <v>290205.701171875</v>
      </c>
      <c r="X25" s="23" t="s">
        <v>5</v>
      </c>
      <c r="Y25" s="36" t="s">
        <v>157</v>
      </c>
    </row>
    <row r="26" spans="2:26" ht="15.75" thickBot="1" x14ac:dyDescent="0.3">
      <c r="U26" s="55" t="s">
        <v>143</v>
      </c>
      <c r="V26" s="24" t="str">
        <f t="shared" si="2"/>
        <v>P_n11</v>
      </c>
      <c r="W26" s="51">
        <f xml:space="preserve"> P_n10 - dP_P9</f>
        <v>229364.302734375</v>
      </c>
      <c r="X26" s="23" t="s">
        <v>5</v>
      </c>
      <c r="Y26" s="36" t="s">
        <v>158</v>
      </c>
    </row>
    <row r="27" spans="2:26" ht="15.75" thickBot="1" x14ac:dyDescent="0.3">
      <c r="B27" s="17" t="s">
        <v>51</v>
      </c>
      <c r="U27" s="55" t="s">
        <v>144</v>
      </c>
      <c r="V27" s="24" t="str">
        <f t="shared" si="2"/>
        <v>P_n12</v>
      </c>
      <c r="W27" s="51">
        <f xml:space="preserve"> P_n4 - dP_P3</f>
        <v>418683.7890625</v>
      </c>
      <c r="X27" s="23" t="s">
        <v>5</v>
      </c>
      <c r="Y27" s="36" t="s">
        <v>159</v>
      </c>
    </row>
    <row r="28" spans="2:26" ht="15.75" thickBot="1" x14ac:dyDescent="0.3">
      <c r="B28" s="28" t="s">
        <v>16</v>
      </c>
      <c r="C28" s="91" t="s">
        <v>77</v>
      </c>
      <c r="D28" s="91"/>
      <c r="E28" s="91" t="s">
        <v>78</v>
      </c>
      <c r="F28" s="91"/>
      <c r="U28" s="55" t="s">
        <v>145</v>
      </c>
      <c r="V28" s="24" t="str">
        <f t="shared" si="2"/>
        <v>P_n13</v>
      </c>
      <c r="W28" s="51">
        <f xml:space="preserve"> P_n12 - dP_J4</f>
        <v>372405.890625</v>
      </c>
      <c r="X28" s="23" t="s">
        <v>5</v>
      </c>
      <c r="Y28" s="36" t="s">
        <v>160</v>
      </c>
    </row>
    <row r="29" spans="2:26" ht="15.75" thickBot="1" x14ac:dyDescent="0.3">
      <c r="B29" s="28" t="s">
        <v>52</v>
      </c>
      <c r="C29" s="24" t="s">
        <v>53</v>
      </c>
      <c r="D29" s="19">
        <v>1.5</v>
      </c>
      <c r="E29" s="24" t="s">
        <v>70</v>
      </c>
      <c r="F29" s="19">
        <v>70000</v>
      </c>
      <c r="U29" s="55" t="s">
        <v>146</v>
      </c>
      <c r="V29" s="24" t="str">
        <f t="shared" si="2"/>
        <v>P_n14</v>
      </c>
      <c r="W29" s="51">
        <f xml:space="preserve"> P_n13 - dP_P4</f>
        <v>360237.609375</v>
      </c>
      <c r="X29" s="23" t="s">
        <v>5</v>
      </c>
      <c r="Y29" s="36" t="s">
        <v>161</v>
      </c>
    </row>
    <row r="30" spans="2:26" ht="15.75" thickBot="1" x14ac:dyDescent="0.3">
      <c r="B30" s="28" t="s">
        <v>54</v>
      </c>
      <c r="C30" s="24" t="s">
        <v>55</v>
      </c>
      <c r="D30" s="19">
        <v>3</v>
      </c>
      <c r="E30" s="24" t="s">
        <v>71</v>
      </c>
      <c r="F30" s="19">
        <f>200000</f>
        <v>200000</v>
      </c>
      <c r="U30" s="55" t="s">
        <v>147</v>
      </c>
      <c r="V30" s="24" t="str">
        <f t="shared" si="2"/>
        <v>P_n15</v>
      </c>
      <c r="W30" s="51">
        <f xml:space="preserve"> P_n14 - dP_J5</f>
        <v>290205.703125</v>
      </c>
      <c r="X30" s="23" t="s">
        <v>5</v>
      </c>
      <c r="Y30" s="36" t="s">
        <v>162</v>
      </c>
    </row>
    <row r="31" spans="2:26" ht="15.75" thickBot="1" x14ac:dyDescent="0.3">
      <c r="U31" s="55" t="s">
        <v>148</v>
      </c>
      <c r="V31" s="24" t="str">
        <f t="shared" si="2"/>
        <v>P_n16</v>
      </c>
      <c r="W31" s="51">
        <f xml:space="preserve"> P_n15 - dP_P5</f>
        <v>229364.3046875</v>
      </c>
      <c r="X31" s="23" t="s">
        <v>5</v>
      </c>
      <c r="Y31" s="36" t="s">
        <v>163</v>
      </c>
    </row>
    <row r="32" spans="2:26" x14ac:dyDescent="0.25">
      <c r="B32" s="17" t="s">
        <v>15</v>
      </c>
    </row>
    <row r="33" spans="2:25" ht="15.75" thickBot="1" x14ac:dyDescent="0.3">
      <c r="B33" s="28" t="s">
        <v>16</v>
      </c>
      <c r="C33" s="91" t="s">
        <v>79</v>
      </c>
      <c r="D33" s="91"/>
      <c r="E33" s="91" t="s">
        <v>80</v>
      </c>
      <c r="F33" s="91"/>
      <c r="G33" s="91" t="s">
        <v>81</v>
      </c>
      <c r="H33" s="91"/>
      <c r="U33" s="17" t="s">
        <v>269</v>
      </c>
      <c r="V33" s="17"/>
      <c r="W33" s="17"/>
    </row>
    <row r="34" spans="2:25" ht="15.75" thickBot="1" x14ac:dyDescent="0.3">
      <c r="B34" s="28" t="s">
        <v>62</v>
      </c>
      <c r="C34" s="24" t="s">
        <v>82</v>
      </c>
      <c r="D34" s="19">
        <v>5.2499999999999998E-2</v>
      </c>
      <c r="E34" s="24" t="s">
        <v>91</v>
      </c>
      <c r="F34" s="19">
        <v>6</v>
      </c>
      <c r="G34" s="24" t="s">
        <v>92</v>
      </c>
      <c r="H34" s="31">
        <v>4.5720000000000003E-5</v>
      </c>
      <c r="V34" s="24" t="s">
        <v>178</v>
      </c>
      <c r="W34" s="41">
        <f xml:space="preserve"> _xll.HeadLoss_dP_Rho_g(P_J9-P_J1,rho)</f>
        <v>14.781432151794434</v>
      </c>
      <c r="X34" s="23" t="s">
        <v>115</v>
      </c>
      <c r="Y34" s="36" t="s">
        <v>266</v>
      </c>
    </row>
    <row r="35" spans="2:25" ht="15.75" thickBot="1" x14ac:dyDescent="0.3">
      <c r="B35" s="28" t="s">
        <v>58</v>
      </c>
      <c r="C35" s="24" t="s">
        <v>83</v>
      </c>
      <c r="D35" s="19">
        <v>5.2499999999999998E-2</v>
      </c>
      <c r="E35" s="24" t="s">
        <v>93</v>
      </c>
      <c r="F35" s="19">
        <v>15</v>
      </c>
      <c r="G35" s="24" t="s">
        <v>94</v>
      </c>
      <c r="H35" s="31">
        <v>4.5720000000000003E-5</v>
      </c>
    </row>
    <row r="36" spans="2:25" ht="15.75" thickBot="1" x14ac:dyDescent="0.3">
      <c r="B36" s="28" t="s">
        <v>66</v>
      </c>
      <c r="C36" s="24" t="s">
        <v>84</v>
      </c>
      <c r="D36" s="19">
        <v>5.2499999999999998E-2</v>
      </c>
      <c r="E36" s="24" t="s">
        <v>95</v>
      </c>
      <c r="F36" s="19">
        <v>20</v>
      </c>
      <c r="G36" s="24" t="s">
        <v>96</v>
      </c>
      <c r="H36" s="31">
        <v>4.5720000000000003E-5</v>
      </c>
      <c r="U36" s="17" t="s">
        <v>276</v>
      </c>
    </row>
    <row r="37" spans="2:25" ht="15.75" thickBot="1" x14ac:dyDescent="0.3">
      <c r="B37" s="28" t="s">
        <v>67</v>
      </c>
      <c r="C37" s="24" t="s">
        <v>85</v>
      </c>
      <c r="D37" s="19">
        <v>5.2499999999999998E-2</v>
      </c>
      <c r="E37" s="24" t="s">
        <v>97</v>
      </c>
      <c r="F37" s="19">
        <v>6</v>
      </c>
      <c r="G37" s="24" t="s">
        <v>98</v>
      </c>
      <c r="H37" s="31">
        <v>4.5720000000000003E-5</v>
      </c>
      <c r="U37" s="56" t="s">
        <v>22</v>
      </c>
      <c r="V37" s="56" t="s">
        <v>24</v>
      </c>
    </row>
    <row r="38" spans="2:25" ht="15.75" thickBot="1" x14ac:dyDescent="0.3">
      <c r="B38" s="28" t="s">
        <v>59</v>
      </c>
      <c r="C38" s="24" t="s">
        <v>86</v>
      </c>
      <c r="D38" s="19">
        <v>5.2499999999999998E-2</v>
      </c>
      <c r="E38" s="24" t="s">
        <v>99</v>
      </c>
      <c r="F38" s="19">
        <v>30</v>
      </c>
      <c r="G38" s="24" t="s">
        <v>100</v>
      </c>
      <c r="H38" s="31">
        <v>4.5720000000000003E-5</v>
      </c>
      <c r="U38" s="32" t="s">
        <v>0</v>
      </c>
      <c r="V38" s="32" t="s">
        <v>115</v>
      </c>
    </row>
    <row r="39" spans="2:25" ht="15.75" thickBot="1" x14ac:dyDescent="0.3">
      <c r="B39" s="28" t="s">
        <v>68</v>
      </c>
      <c r="C39" s="24" t="s">
        <v>87</v>
      </c>
      <c r="D39" s="19">
        <v>5.2499999999999998E-2</v>
      </c>
      <c r="E39" s="24" t="s">
        <v>101</v>
      </c>
      <c r="F39" s="19">
        <v>6</v>
      </c>
      <c r="G39" s="24" t="s">
        <v>102</v>
      </c>
      <c r="H39" s="31">
        <v>4.5720000000000003E-5</v>
      </c>
      <c r="L39" s="37" t="s">
        <v>116</v>
      </c>
      <c r="M39" s="35"/>
      <c r="N39" s="35"/>
      <c r="P39" s="9"/>
      <c r="U39" s="57">
        <v>0</v>
      </c>
      <c r="V39" s="59">
        <f t="shared" ref="V39:V45" si="3" xml:space="preserve">  sL + ( dH_1_4 / Q_J2^2 ) * U39^2  + ( dH_4_16 / Q_J4 ^2 ) * ( U39 / 2 )^2</f>
        <v>14.781432151794434</v>
      </c>
      <c r="W39" s="36" t="s">
        <v>179</v>
      </c>
    </row>
    <row r="40" spans="2:25" ht="15.75" thickBot="1" x14ac:dyDescent="0.3">
      <c r="B40" s="28" t="s">
        <v>69</v>
      </c>
      <c r="C40" s="24" t="s">
        <v>88</v>
      </c>
      <c r="D40" s="19">
        <v>5.2499999999999998E-2</v>
      </c>
      <c r="E40" s="24" t="s">
        <v>103</v>
      </c>
      <c r="F40" s="19">
        <v>20</v>
      </c>
      <c r="G40" s="24" t="s">
        <v>104</v>
      </c>
      <c r="H40" s="31">
        <v>4.5720000000000003E-5</v>
      </c>
      <c r="L40" s="38" t="s">
        <v>26</v>
      </c>
      <c r="M40" s="7" t="s">
        <v>32</v>
      </c>
      <c r="N40" s="40">
        <f>_xll.PressureLoss_k_Qv_D_Rho(K_J4,Q_J4,D_P4,rho)</f>
        <v>46277.8984375</v>
      </c>
      <c r="O40" s="23" t="s">
        <v>5</v>
      </c>
      <c r="P40" s="36" t="s">
        <v>127</v>
      </c>
      <c r="U40" s="57">
        <v>2.5000000000000001E-3</v>
      </c>
      <c r="V40" s="59">
        <f t="shared" si="3"/>
        <v>16.084403038787841</v>
      </c>
      <c r="W40" s="36" t="s">
        <v>184</v>
      </c>
    </row>
    <row r="41" spans="2:25" ht="15.75" thickBot="1" x14ac:dyDescent="0.3">
      <c r="B41" s="28" t="s">
        <v>65</v>
      </c>
      <c r="C41" s="24" t="s">
        <v>89</v>
      </c>
      <c r="D41" s="19">
        <v>5.2499999999999998E-2</v>
      </c>
      <c r="E41" s="24" t="s">
        <v>105</v>
      </c>
      <c r="F41" s="19">
        <v>6</v>
      </c>
      <c r="G41" s="24" t="s">
        <v>106</v>
      </c>
      <c r="H41" s="31">
        <v>4.5720000000000003E-5</v>
      </c>
      <c r="L41" s="38" t="s">
        <v>27</v>
      </c>
      <c r="M41" s="7" t="s">
        <v>33</v>
      </c>
      <c r="N41" s="40">
        <f>_xll.PressureLoss_k_Qv_D_Rho(K_J7,Q_J7,D_P8,rho)</f>
        <v>31216.701171875</v>
      </c>
      <c r="O41" s="23" t="s">
        <v>5</v>
      </c>
      <c r="P41" s="36" t="s">
        <v>128</v>
      </c>
      <c r="U41" s="57">
        <v>5.0000000000000001E-3</v>
      </c>
      <c r="V41" s="59">
        <f t="shared" si="3"/>
        <v>19.993315699768068</v>
      </c>
      <c r="W41" s="36" t="s">
        <v>185</v>
      </c>
    </row>
    <row r="42" spans="2:25" ht="15.75" thickBot="1" x14ac:dyDescent="0.3">
      <c r="B42" s="28" t="s">
        <v>60</v>
      </c>
      <c r="C42" s="24" t="s">
        <v>90</v>
      </c>
      <c r="D42" s="19">
        <v>5.2499999999999998E-2</v>
      </c>
      <c r="E42" s="24" t="s">
        <v>107</v>
      </c>
      <c r="F42" s="19">
        <v>30</v>
      </c>
      <c r="G42" s="24" t="s">
        <v>108</v>
      </c>
      <c r="H42" s="31">
        <v>4.5720000000000003E-5</v>
      </c>
      <c r="L42" s="38"/>
      <c r="M42" s="7"/>
      <c r="N42" s="11"/>
      <c r="P42" s="36"/>
      <c r="U42" s="57">
        <v>7.4999999999999997E-3</v>
      </c>
      <c r="V42" s="59">
        <f t="shared" si="3"/>
        <v>26.508170134735106</v>
      </c>
      <c r="W42" s="36" t="s">
        <v>180</v>
      </c>
    </row>
    <row r="43" spans="2:25" ht="15.75" thickBot="1" x14ac:dyDescent="0.3">
      <c r="B43" s="6"/>
      <c r="C43" s="7"/>
      <c r="D43" s="8"/>
      <c r="E43" s="7"/>
      <c r="F43" s="8"/>
      <c r="G43" s="7"/>
      <c r="H43" s="8"/>
      <c r="L43" s="37" t="s">
        <v>117</v>
      </c>
      <c r="M43" s="35"/>
      <c r="N43" s="35"/>
      <c r="P43" s="36"/>
      <c r="U43" s="57">
        <v>0.01</v>
      </c>
      <c r="V43" s="59">
        <f t="shared" si="3"/>
        <v>35.628966343688965</v>
      </c>
      <c r="W43" s="36" t="s">
        <v>181</v>
      </c>
    </row>
    <row r="44" spans="2:25" ht="15.75" thickBot="1" x14ac:dyDescent="0.3">
      <c r="B44" s="17" t="s">
        <v>17</v>
      </c>
      <c r="L44" s="38" t="s">
        <v>34</v>
      </c>
      <c r="M44" s="7" t="s">
        <v>36</v>
      </c>
      <c r="N44" s="40">
        <f>_xll.SplineInterpolation(Q_J4,B51:B58,$C$51:$C$58,Cd)</f>
        <v>70031.90625</v>
      </c>
      <c r="O44" s="23" t="s">
        <v>5</v>
      </c>
      <c r="P44" s="36" t="s">
        <v>129</v>
      </c>
      <c r="U44" s="57">
        <v>1.2500000000000001E-2</v>
      </c>
      <c r="V44" s="59">
        <f t="shared" si="3"/>
        <v>47.355704326629642</v>
      </c>
      <c r="W44" s="36" t="s">
        <v>182</v>
      </c>
    </row>
    <row r="45" spans="2:25" ht="15.75" thickBot="1" x14ac:dyDescent="0.3">
      <c r="B45" s="28" t="s">
        <v>16</v>
      </c>
      <c r="C45" s="91" t="s">
        <v>79</v>
      </c>
      <c r="D45" s="91"/>
      <c r="E45" s="91" t="s">
        <v>113</v>
      </c>
      <c r="F45" s="91"/>
      <c r="G45" s="91" t="s">
        <v>114</v>
      </c>
      <c r="H45" s="91"/>
      <c r="I45" s="91" t="s">
        <v>81</v>
      </c>
      <c r="J45" s="91"/>
      <c r="L45" s="38" t="s">
        <v>35</v>
      </c>
      <c r="M45" s="7" t="s">
        <v>37</v>
      </c>
      <c r="N45" s="40">
        <f>_xll.SplineInterpolation(Q_J7,B51:B58,C51:C58,Cd)</f>
        <v>70031.90625</v>
      </c>
      <c r="O45" s="23" t="s">
        <v>5</v>
      </c>
      <c r="P45" s="36" t="s">
        <v>130</v>
      </c>
      <c r="U45" s="57">
        <v>1.4999999999999999E-2</v>
      </c>
      <c r="V45" s="59">
        <f t="shared" si="3"/>
        <v>61.688384083557125</v>
      </c>
      <c r="W45" s="36" t="s">
        <v>183</v>
      </c>
    </row>
    <row r="46" spans="2:25" ht="15.75" thickBot="1" x14ac:dyDescent="0.3">
      <c r="B46" s="28" t="s">
        <v>64</v>
      </c>
      <c r="C46" s="24" t="s">
        <v>109</v>
      </c>
      <c r="D46" s="19">
        <v>5.2499999999999998E-2</v>
      </c>
      <c r="E46" s="24" t="s">
        <v>110</v>
      </c>
      <c r="F46" s="19">
        <v>0.04</v>
      </c>
      <c r="G46" s="24" t="s">
        <v>111</v>
      </c>
      <c r="H46" s="19">
        <v>90</v>
      </c>
      <c r="I46" s="24" t="s">
        <v>112</v>
      </c>
      <c r="J46" s="31">
        <v>4.5720000000000003E-5</v>
      </c>
      <c r="L46" s="38"/>
      <c r="M46" s="7"/>
      <c r="N46" s="11"/>
      <c r="P46" s="36"/>
      <c r="U46" s="12"/>
    </row>
    <row r="47" spans="2:25" ht="15.75" thickBot="1" x14ac:dyDescent="0.3">
      <c r="L47" s="37" t="s">
        <v>118</v>
      </c>
      <c r="M47" s="35"/>
      <c r="N47" s="35"/>
      <c r="P47" s="36"/>
      <c r="U47" s="12"/>
    </row>
    <row r="48" spans="2:25" ht="15.75" thickBot="1" x14ac:dyDescent="0.3">
      <c r="B48" s="17" t="s">
        <v>25</v>
      </c>
      <c r="L48" s="38" t="s">
        <v>62</v>
      </c>
      <c r="M48" s="7" t="s">
        <v>38</v>
      </c>
      <c r="N48" s="40">
        <f>_xll.PipeStraightCircularCrossSection_dP(D_P1,L_P1,Q_J2,rho,nu,2,e_P1,,,Cd,L48)</f>
        <v>46785.5859375</v>
      </c>
      <c r="O48" s="23" t="s">
        <v>5</v>
      </c>
      <c r="P48" s="36" t="s">
        <v>305</v>
      </c>
      <c r="U48" s="12"/>
    </row>
    <row r="49" spans="2:26" ht="15.75" thickBot="1" x14ac:dyDescent="0.3">
      <c r="B49" s="28" t="s">
        <v>22</v>
      </c>
      <c r="C49" s="28" t="s">
        <v>23</v>
      </c>
      <c r="L49" s="38" t="s">
        <v>58</v>
      </c>
      <c r="M49" s="7" t="s">
        <v>39</v>
      </c>
      <c r="N49" s="40">
        <f>_xll.PipeStraightCircularCrossSection_dP(D_P2,L_P2,Q_J2,rho,nu,2,e_P2,,,Cd,L49)</f>
        <v>116963.96875</v>
      </c>
      <c r="O49" s="23" t="s">
        <v>5</v>
      </c>
      <c r="P49" s="36" t="s">
        <v>306</v>
      </c>
      <c r="U49" s="12"/>
    </row>
    <row r="50" spans="2:26" ht="15.75" thickBot="1" x14ac:dyDescent="0.3">
      <c r="B50" s="32" t="s">
        <v>0</v>
      </c>
      <c r="C50" s="32" t="s">
        <v>5</v>
      </c>
      <c r="L50" s="38" t="s">
        <v>66</v>
      </c>
      <c r="M50" s="7" t="s">
        <v>41</v>
      </c>
      <c r="N50" s="40">
        <f>_xll.PipeStraightCircularCrossSection_dP(D_P3,L_P3,Q_J4,rho,nu,2,e_P3,,,Cd,L50)</f>
        <v>40560.93359375</v>
      </c>
      <c r="O50" s="23" t="s">
        <v>5</v>
      </c>
      <c r="P50" s="36" t="s">
        <v>307</v>
      </c>
      <c r="U50" s="12"/>
    </row>
    <row r="51" spans="2:26" ht="15.75" thickBot="1" x14ac:dyDescent="0.3">
      <c r="B51" s="30">
        <v>0</v>
      </c>
      <c r="C51" s="33">
        <v>0</v>
      </c>
      <c r="L51" s="38" t="s">
        <v>67</v>
      </c>
      <c r="M51" s="7" t="s">
        <v>42</v>
      </c>
      <c r="N51" s="40">
        <f>_xll.PipeStraightCircularCrossSection_dP(D_P4,L_P4,Q_J4,rho,nu,2,e_P4,,,Cd,L51)</f>
        <v>12168.28125</v>
      </c>
      <c r="O51" s="23" t="s">
        <v>5</v>
      </c>
      <c r="P51" s="36" t="s">
        <v>308</v>
      </c>
      <c r="U51" s="12"/>
    </row>
    <row r="52" spans="2:26" ht="15.75" thickBot="1" x14ac:dyDescent="0.3">
      <c r="B52" s="30">
        <v>2.5000000000000001E-3</v>
      </c>
      <c r="C52" s="33">
        <v>9071.9999999968022</v>
      </c>
      <c r="L52" s="38" t="s">
        <v>59</v>
      </c>
      <c r="M52" s="7" t="s">
        <v>43</v>
      </c>
      <c r="N52" s="40">
        <f>_xll.PipeStraightCircularCrossSection_dP(D_P5,L_P5,Q_J4,rho,nu,2,e_P5,,,Cd,L52)</f>
        <v>60841.3984375</v>
      </c>
      <c r="O52" s="23" t="s">
        <v>5</v>
      </c>
      <c r="P52" s="36" t="s">
        <v>309</v>
      </c>
      <c r="U52" s="12"/>
    </row>
    <row r="53" spans="2:26" ht="15.75" thickBot="1" x14ac:dyDescent="0.3">
      <c r="B53" s="30">
        <v>5.0000000000000001E-3</v>
      </c>
      <c r="C53" s="33">
        <v>36287.999999993604</v>
      </c>
      <c r="L53" s="38" t="s">
        <v>68</v>
      </c>
      <c r="M53" s="7" t="s">
        <v>44</v>
      </c>
      <c r="N53" s="40">
        <f>_xll.PipeStraightCircularCrossSection_dP(D_P6,L_P6,Q_J7,rho,nu,2,e_P6,,,Cd,L53)</f>
        <v>12168.28125</v>
      </c>
      <c r="O53" s="23" t="s">
        <v>5</v>
      </c>
      <c r="P53" s="36" t="s">
        <v>310</v>
      </c>
      <c r="U53" s="12"/>
    </row>
    <row r="54" spans="2:26" ht="15.75" thickBot="1" x14ac:dyDescent="0.3">
      <c r="B54" s="30">
        <v>7.4999999999999997E-3</v>
      </c>
      <c r="C54" s="33">
        <v>81647.99999999041</v>
      </c>
      <c r="L54" s="38" t="s">
        <v>69</v>
      </c>
      <c r="M54" s="7" t="s">
        <v>45</v>
      </c>
      <c r="N54" s="40">
        <f>_xll.PipeStraightCircularCrossSection_dP(D_P7,L_P7,Q_J7,rho,nu,2,e_P7,,,Cd,L54)</f>
        <v>40560.93359375</v>
      </c>
      <c r="O54" s="23" t="s">
        <v>5</v>
      </c>
      <c r="P54" s="36" t="s">
        <v>311</v>
      </c>
      <c r="U54" s="12"/>
    </row>
    <row r="55" spans="2:26" ht="15.75" thickBot="1" x14ac:dyDescent="0.3">
      <c r="B55" s="30">
        <v>0.01</v>
      </c>
      <c r="C55" s="33">
        <v>145151.99999998719</v>
      </c>
      <c r="L55" s="38" t="s">
        <v>65</v>
      </c>
      <c r="M55" s="7" t="s">
        <v>46</v>
      </c>
      <c r="N55" s="40">
        <f>_xll.PipeStraightCircularCrossSection_dP(D_P8,L_P8,Q_J7,rho,nu,2,e_P8,,,Cd,L55)</f>
        <v>12168.28125</v>
      </c>
      <c r="O55" s="23" t="s">
        <v>5</v>
      </c>
      <c r="P55" s="36" t="s">
        <v>312</v>
      </c>
      <c r="U55" s="12"/>
    </row>
    <row r="56" spans="2:26" ht="15.75" thickBot="1" x14ac:dyDescent="0.3">
      <c r="B56" s="30">
        <v>1.2500000000000001E-2</v>
      </c>
      <c r="C56" s="33">
        <v>226799.99999998399</v>
      </c>
      <c r="L56" s="38" t="s">
        <v>60</v>
      </c>
      <c r="M56" s="7" t="s">
        <v>40</v>
      </c>
      <c r="N56" s="40">
        <f>_xll.PipeStraightCircularCrossSection_dP(D_P9,L_P9,Q_J7,rho,nu,2,e_P9,,,Cd,L56)</f>
        <v>60841.3984375</v>
      </c>
      <c r="O56" s="23" t="s">
        <v>5</v>
      </c>
      <c r="P56" s="36" t="s">
        <v>313</v>
      </c>
      <c r="U56" s="12"/>
      <c r="Z56" s="10"/>
    </row>
    <row r="57" spans="2:26" ht="15.75" thickBot="1" x14ac:dyDescent="0.3">
      <c r="B57" s="30">
        <v>1.4999999999999999E-2</v>
      </c>
      <c r="C57" s="33">
        <v>326591.99999998079</v>
      </c>
      <c r="L57" s="38"/>
      <c r="M57" s="7"/>
      <c r="N57" s="11"/>
      <c r="P57" s="36"/>
      <c r="U57" s="12"/>
      <c r="Z57" s="10"/>
    </row>
    <row r="58" spans="2:26" ht="15.75" thickBot="1" x14ac:dyDescent="0.3">
      <c r="B58" s="30">
        <v>1.7500000000000002E-2</v>
      </c>
      <c r="C58" s="33">
        <v>444527.99999997765</v>
      </c>
      <c r="L58" s="37" t="s">
        <v>119</v>
      </c>
      <c r="M58" s="35"/>
      <c r="N58" s="35"/>
      <c r="P58" s="36"/>
      <c r="U58" s="12"/>
    </row>
    <row r="59" spans="2:26" ht="15.75" thickBot="1" x14ac:dyDescent="0.3">
      <c r="L59" s="38" t="s">
        <v>64</v>
      </c>
      <c r="M59" s="7" t="s">
        <v>47</v>
      </c>
      <c r="N59" s="40">
        <f>_xll.BendSmoothCircularCrossSection_dP(D_J6,F46,H46,e_J6,Q_J7,rho,nu,1,,,Cd,L59)</f>
        <v>2892.91796875</v>
      </c>
      <c r="O59" s="23" t="s">
        <v>5</v>
      </c>
      <c r="P59" s="36" t="s">
        <v>304</v>
      </c>
      <c r="U59" s="13"/>
    </row>
    <row r="60" spans="2:26" x14ac:dyDescent="0.25">
      <c r="B60" s="17" t="s">
        <v>131</v>
      </c>
      <c r="L60" s="39"/>
      <c r="M60" s="2"/>
      <c r="N60" s="2"/>
      <c r="P60" s="36"/>
    </row>
    <row r="61" spans="2:26" ht="15.75" thickBot="1" x14ac:dyDescent="0.3">
      <c r="B61" s="28" t="s">
        <v>22</v>
      </c>
      <c r="C61" s="28" t="s">
        <v>24</v>
      </c>
      <c r="L61" s="17" t="s">
        <v>121</v>
      </c>
      <c r="M61" s="35"/>
      <c r="N61" s="35"/>
      <c r="P61" s="36"/>
    </row>
    <row r="62" spans="2:26" ht="15.75" thickBot="1" x14ac:dyDescent="0.3">
      <c r="B62" s="32" t="s">
        <v>0</v>
      </c>
      <c r="C62" s="32" t="s">
        <v>115</v>
      </c>
      <c r="L62" s="38" t="s">
        <v>63</v>
      </c>
      <c r="M62" s="7" t="s">
        <v>48</v>
      </c>
      <c r="N62" s="41">
        <f>_xll.SplineInterpolation(Q_J2,B63:B70,C63:C70,Cd)</f>
        <v>54.99658203125</v>
      </c>
      <c r="O62" s="23" t="s">
        <v>115</v>
      </c>
      <c r="P62" s="36" t="s">
        <v>126</v>
      </c>
    </row>
    <row r="63" spans="2:26" ht="15.75" thickBot="1" x14ac:dyDescent="0.3">
      <c r="B63" s="52">
        <v>0</v>
      </c>
      <c r="C63" s="34">
        <v>60</v>
      </c>
      <c r="L63" s="38" t="s">
        <v>63</v>
      </c>
      <c r="M63" s="7" t="s">
        <v>49</v>
      </c>
      <c r="N63" s="40">
        <f>_xll.StaticPressure_H_Rho_g(H_J2,rho)</f>
        <v>538312.125</v>
      </c>
      <c r="O63" s="23" t="s">
        <v>5</v>
      </c>
      <c r="P63" s="36" t="s">
        <v>187</v>
      </c>
    </row>
    <row r="64" spans="2:26" ht="15.75" thickBot="1" x14ac:dyDescent="0.3">
      <c r="B64" s="52">
        <v>5.0000000000000001E-3</v>
      </c>
      <c r="C64" s="34">
        <v>59.927999999999997</v>
      </c>
      <c r="L64" s="39"/>
      <c r="M64" s="2"/>
      <c r="N64" s="2"/>
      <c r="P64" s="36"/>
    </row>
    <row r="65" spans="2:16" ht="15.75" thickBot="1" x14ac:dyDescent="0.3">
      <c r="B65" s="52">
        <v>0.01</v>
      </c>
      <c r="C65" s="34">
        <v>57.911999999999999</v>
      </c>
      <c r="L65" s="37" t="s">
        <v>120</v>
      </c>
      <c r="M65" s="35"/>
      <c r="N65" s="35"/>
      <c r="P65" s="36"/>
    </row>
    <row r="66" spans="2:16" ht="15.75" thickBot="1" x14ac:dyDescent="0.3">
      <c r="B66" s="52">
        <v>1.4999999999999999E-2</v>
      </c>
      <c r="C66" s="34">
        <v>53.951999999999998</v>
      </c>
      <c r="L66" s="38" t="s">
        <v>52</v>
      </c>
      <c r="M66" s="7" t="s">
        <v>56</v>
      </c>
      <c r="N66" s="40">
        <f>Ps_J1 + _xll.StaticPressure_H_Rho_g(H_J1,rho)</f>
        <v>84682.15234375</v>
      </c>
      <c r="O66" s="23" t="s">
        <v>5</v>
      </c>
      <c r="P66" s="36" t="s">
        <v>188</v>
      </c>
    </row>
    <row r="67" spans="2:16" ht="15.75" thickBot="1" x14ac:dyDescent="0.3">
      <c r="B67" s="52">
        <v>0.02</v>
      </c>
      <c r="C67" s="34">
        <v>48.048000000000002</v>
      </c>
      <c r="L67" s="38" t="s">
        <v>54</v>
      </c>
      <c r="M67" s="7" t="s">
        <v>57</v>
      </c>
      <c r="N67" s="40">
        <f>Ps_J9 + _xll.StaticPressure_H_Rho_g(H_J9,rho)</f>
        <v>229364.3046875</v>
      </c>
      <c r="O67" s="23" t="s">
        <v>5</v>
      </c>
      <c r="P67" s="36" t="s">
        <v>189</v>
      </c>
    </row>
    <row r="68" spans="2:16" ht="15.75" thickBot="1" x14ac:dyDescent="0.3">
      <c r="B68" s="52">
        <v>2.5000000000000001E-2</v>
      </c>
      <c r="C68" s="34">
        <v>40.200000000000003</v>
      </c>
    </row>
    <row r="69" spans="2:16" ht="15.75" thickBot="1" x14ac:dyDescent="0.3">
      <c r="B69" s="52">
        <v>0.03</v>
      </c>
      <c r="C69" s="34">
        <v>30.408000000000001</v>
      </c>
      <c r="L69" s="17" t="s">
        <v>291</v>
      </c>
    </row>
    <row r="70" spans="2:16" ht="15.75" thickBot="1" x14ac:dyDescent="0.3">
      <c r="B70" s="52">
        <v>3.5000000000000003E-2</v>
      </c>
      <c r="C70" s="34">
        <v>18.671999999999983</v>
      </c>
      <c r="L70" s="25" t="s">
        <v>166</v>
      </c>
      <c r="M70" s="24" t="s">
        <v>167</v>
      </c>
      <c r="N70" s="60">
        <f xml:space="preserve"> dP_P1 + dP_P2</f>
        <v>163749.5546875</v>
      </c>
      <c r="O70" s="23" t="s">
        <v>5</v>
      </c>
      <c r="P70" s="36" t="s">
        <v>172</v>
      </c>
    </row>
    <row r="71" spans="2:16" ht="15.75" thickBot="1" x14ac:dyDescent="0.3">
      <c r="L71" s="25" t="s">
        <v>168</v>
      </c>
      <c r="M71" s="24" t="s">
        <v>170</v>
      </c>
      <c r="N71" s="60">
        <f xml:space="preserve"> dP_P3 + dP_J4 + dP_P4 + dP_J5 + dP_P5</f>
        <v>229880.41796875</v>
      </c>
      <c r="O71" s="23" t="s">
        <v>5</v>
      </c>
      <c r="P71" s="36" t="s">
        <v>173</v>
      </c>
    </row>
    <row r="72" spans="2:16" ht="15.75" thickBot="1" x14ac:dyDescent="0.3">
      <c r="L72" s="25" t="s">
        <v>169</v>
      </c>
      <c r="M72" s="24" t="s">
        <v>171</v>
      </c>
      <c r="N72" s="60">
        <f xml:space="preserve">  dP_P6 + dP_J6 + dP_J7 + dP_P7 + dP_P8 + dP_J8 + dP_P9</f>
        <v>229880.419921875</v>
      </c>
      <c r="O72" s="23" t="s">
        <v>5</v>
      </c>
      <c r="P72" s="36" t="s">
        <v>174</v>
      </c>
    </row>
    <row r="74" spans="2:16" ht="15.75" thickBot="1" x14ac:dyDescent="0.3">
      <c r="L74" s="17" t="s">
        <v>273</v>
      </c>
      <c r="M74" s="17"/>
      <c r="N74" s="17"/>
    </row>
    <row r="75" spans="2:16" ht="15.75" thickBot="1" x14ac:dyDescent="0.3">
      <c r="L75" s="25" t="s">
        <v>166</v>
      </c>
      <c r="M75" s="24" t="s">
        <v>175</v>
      </c>
      <c r="N75" s="41">
        <f>_xll.HeadLoss_dP_Rho_g(dP_1_4,rho)</f>
        <v>16.729450225830078</v>
      </c>
      <c r="O75" s="23" t="s">
        <v>115</v>
      </c>
      <c r="P75" s="36" t="s">
        <v>192</v>
      </c>
    </row>
    <row r="76" spans="2:16" ht="15.75" thickBot="1" x14ac:dyDescent="0.3">
      <c r="L76" s="25" t="s">
        <v>168</v>
      </c>
      <c r="M76" s="24" t="s">
        <v>176</v>
      </c>
      <c r="N76" s="41">
        <f>_xll.HeadLoss_dP_Rho_g(dP_4_16,rho)</f>
        <v>23.485700607299805</v>
      </c>
      <c r="O76" s="23" t="s">
        <v>115</v>
      </c>
      <c r="P76" s="36" t="s">
        <v>193</v>
      </c>
    </row>
    <row r="77" spans="2:16" ht="15.75" thickBot="1" x14ac:dyDescent="0.3">
      <c r="L77" s="25" t="s">
        <v>169</v>
      </c>
      <c r="M77" s="24" t="s">
        <v>177</v>
      </c>
      <c r="N77" s="41">
        <f>_xll.HeadLoss_dP_Rho_g(dP_4_11,rho)</f>
        <v>23.485700607299805</v>
      </c>
      <c r="O77" s="23" t="s">
        <v>115</v>
      </c>
      <c r="P77" s="36" t="s">
        <v>194</v>
      </c>
    </row>
  </sheetData>
  <mergeCells count="10">
    <mergeCell ref="C23:D23"/>
    <mergeCell ref="C28:D28"/>
    <mergeCell ref="E28:F28"/>
    <mergeCell ref="I45:J45"/>
    <mergeCell ref="E45:F45"/>
    <mergeCell ref="C33:D33"/>
    <mergeCell ref="E33:F33"/>
    <mergeCell ref="G33:H33"/>
    <mergeCell ref="C45:D45"/>
    <mergeCell ref="G45:H45"/>
  </mergeCells>
  <phoneticPr fontId="7" type="noConversion"/>
  <hyperlinks>
    <hyperlink ref="B5" r:id="rId1" xr:uid="{CB53F196-7F55-4C1E-B304-A8CE041E597A}"/>
  </hyperlinks>
  <pageMargins left="0.25" right="0.25" top="0.75" bottom="0.75" header="0.3" footer="0.3"/>
  <pageSetup paperSize="9" scale="42" orientation="landscape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versions xmlns="http://schemas.microsoft.com/SolverFoundationForExcel/Version">
  <addinversion>3.1</addinversion>
</versions>
</file>

<file path=customXml/item2.xml>��< ? x m l   v e r s i o n = " 1 . 0 "   e n c o d i n g = " u t f - 1 6 " ? > < M o d e l   x m l n s = " h t t p : / / s c h e m a s . m i c r o s o f t . c o m / S o l v e r F o u n d a t i o n / "   x m l n s : x s i = " h t t p : / / w w w . w 3 . o r g / 2 0 0 1 / X M L S c h e m a - i n s t a n c e "   x m l n s : x s d = " h t t p : / / w w w . w 3 . o r g / 2 0 0 1 / X M L S c h e m a " >  
     < M o d e l T e x t > / /   M o d e l :   T h i s   i s   t h e   m a i n   m o d e l i n g   a r e a  
 M o d e l [  
  
     / /   P a r a m e t e r s :   T h i s   i s   w h e r e   y o u   d e f i n e   t h e   d a t a   t h a t   p l u g s   i n t o   t h e    
     / /   m o d e l .   P a r a m e t e r s   c a n   b e   d e c l a r e d   a s   S e t s   t h a t   a r e   l a t e r   u s e d   a s    
     / /   i n d i c e s   ( i n   o t h e r   P a r a m e t e r s   o r   D e c i s i o n s ) ,   o r   a s   s i n g l e d - v a l u e d    
     / /   c o n s t a n t s   o f   t y p e   R e a l s ,   I n t e g e r s ,   o r   B o o l e a n s .   W h e n   P a r a m e t e r s    
     / /   a r e   d e c l a r e d   a s   S e t s ,   t h e   e l e m e n t s   o f   t h e   s e t s   w i l l   c o m e   f r o m   t h e    
     / /   s p r e a d s h e e t   v i a   t h e   d a t a   b i n d i n g   f u n c t i o n a l i t y .   W h e n   P a r a m e t e r s    
     / /   a r e   d e c l a r e d   a s   c o n s t a n t s ,   t h e i r   v a l u e s   c a n   b e   i n i t i a l i z e d   e i t h e r   i n    
     / /   p l a c e   u s i n g   =   o r   f r o m   d a t a   b i n d i n g   f u n c t i o n a l i t y .  
     P a r a m e t e r s [  
  
     ] ,  
  
     / /   D e c i s i o n s :   T h e s e   a r e   t h e    o u t p u t s    o f   t h e   s o l v e r .   T h e y   a r e   t h e    
     / /   r e s u l t s   o f   t h e   m o d e l   b e i n g   s o l v e d .   S u p p o r t e d   t y p e s   f o r   D e c i s i o n s    
     / /   c a n   b e   R e a l s ,   I n t e g e r s ,   o r   B o o l e a n s .   D e c i s i o n s   a r e   m a n d a t o r y .  
     D e c i s i o n s [  
  
     ] ,  
  
     / /   C o n s t r a i n t s :   T h i s   i s   w h e r e   y o u   c a n   a d d   b u s i n e s s   c o n s t r a i n t s   t o    
     / /   t h e   m o d e l .   T h e s e   a r e   r e s t r i c t i o n s   p l a c e d   o n   D e c i s i o n s .  
     C o n s t r a i n t s [  
  
     ] ,  
    
     / /   G o a l s :   T h i s   i s   w h e r e   y o u   d e f i n e   t h e   b u s i n e s s   g o a l   o r   g o a l s   y o u  
     / /   a r e   t r y i n g   t o   a c c o m p l i s h .   T h e s e   a r e   u s e d   t o   s p e c i f y   a   q u a n t i t y   t h a t    
     / /   s h o u l d   b e   m a x i m i z e d   o r   m i n i m i z e d   ( M i n i m i z e [ ]   o r   M a x i m i z e   [ ] )  
     G o a l s [  
  
     ]  
  
 ] < / M o d e l T e x t >  
     < D a t a B i n d i n g s >  
         < B i n d i n g S o u r c e I n f o >  
             < N a m e > E x c e l A d d I n < / N a m e >  
             < C o n n e c t i o n / >  
             < P a r a m e t e r B i n d i n g s / >  
             < D e c i s i o n B i n d i n g s / >  
         < / B i n d i n g S o u r c e I n f o >  
     < / D a t a B i n d i n g s >  
     < D i r e c t i v e s / >  
     < O p t i o n s >  
         < P r o p e r t y I n f o >  
             < N a m e > A l l o w M o d e l T e x t E d i t i n g < / N a m e >  
             < V a l u e   x s i : t y p e = " x s d : b o o l e a n " > f a l s e < / V a l u e >  
         < / P r o p e r t y I n f o >  
         < P r o p e r t y I n f o >  
             < N a m e > E d i t o r V i s i b l e < / N a m e >  
             < V a l u e   x s i : t y p e = " x s d : b o o l e a n " > f a l s e < / V a l u e >  
         < / P r o p e r t y I n f o >  
         < P r o p e r t y I n f o >  
             < N a m e > C l e a r L o g O n S o l v i n g < / N a m e >  
             < V a l u e   x s i : t y p e = " x s d : b o o l e a n " > f a l s e < / V a l u e >  
         < / P r o p e r t y I n f o >  
         < P r o p e r t y I n f o >  
             < N a m e > S a m p l i n g C o u n t < / N a m e >  
             < V a l u e   x s i : t y p e = " x s d : i n t " > 0 < / V a l u e >  
         < / P r o p e r t y I n f o >  
         < P r o p e r t y I n f o >  
             < N a m e > R a n d o m S e e d < / N a m e >  
             < V a l u e   x s i : t y p e = " x s d : i n t " > 0 < / V a l u e >  
         < / P r o p e r t y I n f o >  
         < P r o p e r t y I n f o >  
             < N a m e > S a m p l i n g M e t h o d < / N a m e >  
             < V a l u e   x s i : t y p e = " x s d : i n t " > 0 < / V a l u e >  
         < / P r o p e r t y I n f o >  
         < P r o p e r t y I n f o >  
             < N a m e > R e p o r t O p t i o n s < / N a m e >  
             < V a l u e   x s i : t y p e = " x s d : i n t " > 5 < / V a l u e >  
         < / P r o p e r t y I n f o >  
     < / O p t i o n s >  
 < / M o d e l > 
</file>

<file path=customXml/itemProps1.xml><?xml version="1.0" encoding="utf-8"?>
<ds:datastoreItem xmlns:ds="http://schemas.openxmlformats.org/officeDocument/2006/customXml" ds:itemID="{86CCBF2D-309F-4F87-B0A1-C732E8CCF212}">
  <ds:schemaRefs>
    <ds:schemaRef ds:uri="http://schemas.microsoft.com/SolverFoundationForExcel/Version"/>
  </ds:schemaRefs>
</ds:datastoreItem>
</file>

<file path=customXml/itemProps2.xml><?xml version="1.0" encoding="utf-8"?>
<ds:datastoreItem xmlns:ds="http://schemas.openxmlformats.org/officeDocument/2006/customXml" ds:itemID="{1403D445-F6E6-4924-8A13-430475427631}">
  <ds:schemaRefs>
    <ds:schemaRef ds:uri="http://schemas.microsoft.com/SolverFoundation/"/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84</vt:i4>
      </vt:variant>
    </vt:vector>
  </HeadingPairs>
  <TitlesOfParts>
    <vt:vector size="86" baseType="lpstr">
      <vt:lpstr>Readme</vt:lpstr>
      <vt:lpstr>System</vt:lpstr>
      <vt:lpstr>A_J6</vt:lpstr>
      <vt:lpstr>C_J6</vt:lpstr>
      <vt:lpstr>Cd</vt:lpstr>
      <vt:lpstr>D_J6</vt:lpstr>
      <vt:lpstr>D_P1</vt:lpstr>
      <vt:lpstr>D_P2</vt:lpstr>
      <vt:lpstr>D_P3</vt:lpstr>
      <vt:lpstr>D_P4</vt:lpstr>
      <vt:lpstr>D_P5</vt:lpstr>
      <vt:lpstr>D_P6</vt:lpstr>
      <vt:lpstr>D_P7</vt:lpstr>
      <vt:lpstr>D_P8</vt:lpstr>
      <vt:lpstr>D_P9</vt:lpstr>
      <vt:lpstr>dH_1_4</vt:lpstr>
      <vt:lpstr>dH_4_11</vt:lpstr>
      <vt:lpstr>dH_4_16</vt:lpstr>
      <vt:lpstr>dP_1_4</vt:lpstr>
      <vt:lpstr>dP_4_11</vt:lpstr>
      <vt:lpstr>dP_4_16</vt:lpstr>
      <vt:lpstr>dP_J4</vt:lpstr>
      <vt:lpstr>dP_J5</vt:lpstr>
      <vt:lpstr>dP_J6</vt:lpstr>
      <vt:lpstr>dP_J7</vt:lpstr>
      <vt:lpstr>dP_J8</vt:lpstr>
      <vt:lpstr>dP_P1</vt:lpstr>
      <vt:lpstr>dP_P2</vt:lpstr>
      <vt:lpstr>dP_P3</vt:lpstr>
      <vt:lpstr>dP_P4</vt:lpstr>
      <vt:lpstr>dP_P5</vt:lpstr>
      <vt:lpstr>dP_P6</vt:lpstr>
      <vt:lpstr>dP_P7</vt:lpstr>
      <vt:lpstr>dP_P8</vt:lpstr>
      <vt:lpstr>dP_P9</vt:lpstr>
      <vt:lpstr>e_J6</vt:lpstr>
      <vt:lpstr>e_P1</vt:lpstr>
      <vt:lpstr>e_P2</vt:lpstr>
      <vt:lpstr>e_P3</vt:lpstr>
      <vt:lpstr>e_P4</vt:lpstr>
      <vt:lpstr>e_P5</vt:lpstr>
      <vt:lpstr>e_P6</vt:lpstr>
      <vt:lpstr>e_P7</vt:lpstr>
      <vt:lpstr>e_P8</vt:lpstr>
      <vt:lpstr>e_P9</vt:lpstr>
      <vt:lpstr>H_J1</vt:lpstr>
      <vt:lpstr>H_J2</vt:lpstr>
      <vt:lpstr>H_J9</vt:lpstr>
      <vt:lpstr>K_J4</vt:lpstr>
      <vt:lpstr>K_J7</vt:lpstr>
      <vt:lpstr>L_P1</vt:lpstr>
      <vt:lpstr>L_P2</vt:lpstr>
      <vt:lpstr>L_P3</vt:lpstr>
      <vt:lpstr>L_P4</vt:lpstr>
      <vt:lpstr>L_P5</vt:lpstr>
      <vt:lpstr>L_P6</vt:lpstr>
      <vt:lpstr>L_P7</vt:lpstr>
      <vt:lpstr>L_P8</vt:lpstr>
      <vt:lpstr>L_P9</vt:lpstr>
      <vt:lpstr>nu</vt:lpstr>
      <vt:lpstr>P_J1</vt:lpstr>
      <vt:lpstr>P_J2</vt:lpstr>
      <vt:lpstr>P_J9</vt:lpstr>
      <vt:lpstr>P_n1</vt:lpstr>
      <vt:lpstr>P_n10</vt:lpstr>
      <vt:lpstr>P_n11</vt:lpstr>
      <vt:lpstr>P_n12</vt:lpstr>
      <vt:lpstr>P_n13</vt:lpstr>
      <vt:lpstr>P_n14</vt:lpstr>
      <vt:lpstr>P_n15</vt:lpstr>
      <vt:lpstr>P_n16</vt:lpstr>
      <vt:lpstr>P_n2</vt:lpstr>
      <vt:lpstr>P_n3</vt:lpstr>
      <vt:lpstr>P_n4</vt:lpstr>
      <vt:lpstr>P_n5</vt:lpstr>
      <vt:lpstr>P_n6</vt:lpstr>
      <vt:lpstr>P_n7</vt:lpstr>
      <vt:lpstr>P_n8</vt:lpstr>
      <vt:lpstr>P_n9</vt:lpstr>
      <vt:lpstr>Ps_J1</vt:lpstr>
      <vt:lpstr>Ps_J9</vt:lpstr>
      <vt:lpstr>Q_J2</vt:lpstr>
      <vt:lpstr>Q_J4</vt:lpstr>
      <vt:lpstr>Q_J7</vt:lpstr>
      <vt:lpstr>rho</vt:lpstr>
      <vt:lpstr>sL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Corre</dc:creator>
  <cp:lastModifiedBy>François Corre</cp:lastModifiedBy>
  <cp:lastPrinted>2021-06-05T16:43:37Z</cp:lastPrinted>
  <dcterms:created xsi:type="dcterms:W3CDTF">2015-06-05T18:19:34Z</dcterms:created>
  <dcterms:modified xsi:type="dcterms:W3CDTF">2022-05-12T16:32:02Z</dcterms:modified>
</cp:coreProperties>
</file>